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9390" tabRatio="583" activeTab="0"/>
  </bookViews>
  <sheets>
    <sheet name="Scheda Dominio" sheetId="1" r:id="rId1"/>
    <sheet name="SETUP" sheetId="2" r:id="rId2"/>
    <sheet name="calcolo C.D.B. e V.B." sheetId="3" r:id="rId3"/>
  </sheets>
  <definedNames/>
  <calcPr fullCalcOnLoad="1"/>
</workbook>
</file>

<file path=xl/comments1.xml><?xml version="1.0" encoding="utf-8"?>
<comments xmlns="http://schemas.openxmlformats.org/spreadsheetml/2006/main">
  <authors>
    <author/>
    <author>Fabrizio</author>
    <author>Utente Windows</author>
    <author>principale</author>
  </authors>
  <commentList>
    <comment ref="A28" authorId="0">
      <text>
        <r>
          <rPr>
            <b/>
            <sz val="8"/>
            <color indexed="8"/>
            <rFont val="Tahoma"/>
            <family val="2"/>
          </rPr>
          <t xml:space="preserve">Fabrizio:
</t>
        </r>
        <r>
          <rPr>
            <sz val="8"/>
            <color indexed="8"/>
            <rFont val="Tahoma"/>
            <family val="2"/>
          </rPr>
          <t>Qui si deve in primo luogo decidere il periodo di tempo di riferimento  (da 1 a 12 mesi di gioco).
Il livello delle tasse e delle Entrate Ordinarie è basato su D&amp;D I ed. (1 e 10 m.o./famiglia).
E' possibile evidenziare le famiglie in schiavitù.
E' possibile applicare  modificatori alla resa delle risorse vegetali ed animali che incidono sulla loro capacità di nutrire la popolazione.
Di seguito ci sono 22 righe su cui  distribuire le famiglie destinate alle risorse vegetali (2 righe per ogni gruppo di terreni), da selezionare tramite le tendine.
Più in basso ci sono 7 righe per inserire le famiglie destinate a risorse animali (di cui 2 per la pesca), 5 righe per le risorse minerali e 2 righe per la raccolta legna.
Le famiglie residue sono automaticamente distribuite tra commercio, derivati (artigianato) e famiglie ricche.
l'1% della popolazione è sempre considerato appartenere alle "famiglie ricche".
Il totale delle famiglie impiegate deve coincidere con quello qui a destra; in difetto, il file segnala automaticamente la necessità di correzioni.</t>
        </r>
      </text>
    </comment>
    <comment ref="J69" authorId="0">
      <text>
        <r>
          <rPr>
            <b/>
            <sz val="8"/>
            <color indexed="8"/>
            <rFont val="Tahoma"/>
            <family val="2"/>
          </rPr>
          <t>Fabrizio:</t>
        </r>
        <r>
          <rPr>
            <sz val="8"/>
            <color indexed="8"/>
            <rFont val="Tahoma"/>
            <family val="2"/>
          </rPr>
          <t xml:space="preserve">
Ia produzione di cibo è rapportata al numero di mesi considerati.</t>
        </r>
      </text>
    </comment>
    <comment ref="E28" authorId="0">
      <text>
        <r>
          <rPr>
            <b/>
            <sz val="8"/>
            <color indexed="8"/>
            <rFont val="Tahoma"/>
            <family val="2"/>
          </rPr>
          <t>Fabrizio:</t>
        </r>
        <r>
          <rPr>
            <sz val="8"/>
            <color indexed="8"/>
            <rFont val="Tahoma"/>
            <family val="2"/>
          </rPr>
          <t xml:space="preserve">
Le imposte sulle risorse sono basate su D&amp;D I ed..
Rispetto alle regole originali, le risorse contrassegnate con un *  danno introiti maggiori.</t>
        </r>
      </text>
    </comment>
    <comment ref="G28" authorId="0">
      <text>
        <r>
          <rPr>
            <b/>
            <sz val="8"/>
            <color indexed="8"/>
            <rFont val="Tahoma"/>
            <family val="2"/>
          </rPr>
          <t>Fabrizio:</t>
        </r>
        <r>
          <rPr>
            <sz val="8"/>
            <color indexed="8"/>
            <rFont val="Tahoma"/>
            <family val="2"/>
          </rPr>
          <t xml:space="preserve">
Indicano il valore, in M.O., delle merci consegnate al feudatario durante l'anno.
Per le risorse vegetali ed animali è indicato, a destra, anche la quantità di popolazione sfamata con il cibo prodotto.</t>
        </r>
      </text>
    </comment>
    <comment ref="I13" authorId="0">
      <text>
        <r>
          <rPr>
            <b/>
            <sz val="8"/>
            <color indexed="8"/>
            <rFont val="Tahoma"/>
            <family val="2"/>
          </rPr>
          <t>Fabrizio:</t>
        </r>
        <r>
          <rPr>
            <sz val="8"/>
            <color indexed="8"/>
            <rFont val="Tahoma"/>
            <family val="2"/>
          </rPr>
          <t xml:space="preserve">
Indica la popolazione che, sotto il controllo dal governante, è destinata alla produzione (almeno il 20% su ciascuna risorsa dell'esagono).
Il numero di famiglie è al netto degli abitanti "nomadi" e di quelli "impiegabili" dal governante (le relative percentuali possono esser  indicate nelle celle C26 e C27).</t>
        </r>
      </text>
    </comment>
    <comment ref="D28" authorId="0">
      <text>
        <r>
          <rPr>
            <b/>
            <sz val="10"/>
            <color indexed="8"/>
            <rFont val="Tahoma"/>
            <family val="2"/>
          </rPr>
          <t>Fabrizio:</t>
        </r>
        <r>
          <rPr>
            <sz val="10"/>
            <color indexed="8"/>
            <rFont val="Tahoma"/>
            <family val="2"/>
          </rPr>
          <t xml:space="preserve">
Qui sotto, </t>
        </r>
        <r>
          <rPr>
            <u val="single"/>
            <sz val="10"/>
            <color indexed="8"/>
            <rFont val="Tahoma"/>
            <family val="2"/>
          </rPr>
          <t>per ciascun tipo di territorio</t>
        </r>
        <r>
          <rPr>
            <sz val="10"/>
            <color indexed="8"/>
            <rFont val="Tahoma"/>
            <family val="2"/>
          </rPr>
          <t>, sono automaticamente indicati:
1) il tipo di territorio;
2) il numero di famiglie che è possibile assegnare alla produzione di risorse vegetali (salvo legna, che è posta più in basso), al netto dell'1% di famiglie ricche.
Questo è solo un aiuto per chi usa il file nel momento in cui si procede alla assegnazione delle famiglie a queste risorse.
Quindi ha solo finalità di "indicare" e non di verificare la correttezza dei calcoli.
Ed infatti, più in basso, è possibile assegnare le famiglie residue alle altre risorse (animali, minerali e legna) ma ciò non ridurrà il numero di famiglie disponibili qui indicato.
Analogamente, questo numero non tiene conto delle famiglie che, ancora più in basso, sono ripartite automaticamente tra commercio ed artigianato.</t>
        </r>
      </text>
    </comment>
    <comment ref="G76" authorId="0">
      <text>
        <r>
          <rPr>
            <b/>
            <sz val="9"/>
            <color indexed="8"/>
            <rFont val="Tahoma"/>
            <family val="2"/>
          </rPr>
          <t>Fabrizio:</t>
        </r>
        <r>
          <rPr>
            <sz val="9"/>
            <color indexed="8"/>
            <rFont val="Tahoma"/>
            <family val="2"/>
          </rPr>
          <t xml:space="preserve">
v. riquadro a sinistra</t>
        </r>
      </text>
    </comment>
    <comment ref="G78" authorId="0">
      <text>
        <r>
          <rPr>
            <b/>
            <sz val="8"/>
            <color indexed="8"/>
            <rFont val="Tahoma"/>
            <family val="2"/>
          </rPr>
          <t>Fabrizio:</t>
        </r>
        <r>
          <rPr>
            <sz val="8"/>
            <color indexed="8"/>
            <rFont val="Tahoma"/>
            <family val="2"/>
          </rPr>
          <t xml:space="preserve">
La decima è la somma versata dal Feudatario alla sua Chiesao (di norma il 10%.).
Il file detrae automaticamente da questa somma le spese per le festività e per i vicecappellani.
</t>
        </r>
        <r>
          <rPr>
            <sz val="10"/>
            <color indexed="8"/>
            <rFont val="Sans-PS"/>
            <family val="0"/>
          </rPr>
          <t xml:space="preserve">
</t>
        </r>
        <r>
          <rPr>
            <sz val="8"/>
            <color indexed="8"/>
            <rFont val="Tahoma"/>
            <family val="2"/>
          </rPr>
          <t xml:space="preserve">Se il feudatario non si riconosce fedele ad una Chiesa,  l'imposta è pari a 0%.
</t>
        </r>
      </text>
    </comment>
    <comment ref="I3" authorId="1">
      <text>
        <r>
          <rPr>
            <b/>
            <sz val="9"/>
            <rFont val="Tahoma"/>
            <family val="2"/>
          </rPr>
          <t>NOTA BENE:</t>
        </r>
        <r>
          <rPr>
            <sz val="9"/>
            <rFont val="Tahoma"/>
            <family val="2"/>
          </rPr>
          <t xml:space="preserve">
Per il calcolo corretto delle famiglie, il numero di abitanti che vivono negli insediamenti deve esser inserito nella colonna "Totali abitanti insediam.", sommandoli tra loro qualora ve ne sia più di uno nello stesso tipo di terreno (v. sezione "territori").</t>
        </r>
      </text>
    </comment>
    <comment ref="J3" authorId="0">
      <text>
        <r>
          <rPr>
            <b/>
            <sz val="8"/>
            <color indexed="8"/>
            <rFont val="Tahoma"/>
            <family val="2"/>
          </rPr>
          <t>Fabrizio:</t>
        </r>
        <r>
          <rPr>
            <sz val="8"/>
            <color indexed="8"/>
            <rFont val="Tahoma"/>
            <family val="2"/>
          </rPr>
          <t xml:space="preserve">
L'area urbana indica (in acri) la superficie di territorio occupata da da strutture residenziali, commerciali, militari, portuali o governative (selezionare "&lt; di 1000 abitanti", "+mercato", "+aree militari",  "+ porto", "+sede governo").
Essa non sarà disponibile ai fini della produzione di risorse.
Detta area può esser calcolata con il generatore di aree urbane che si trova poco più in basso.
</t>
        </r>
      </text>
    </comment>
    <comment ref="H82" authorId="1">
      <text>
        <r>
          <rPr>
            <b/>
            <sz val="9"/>
            <rFont val="Tahoma"/>
            <family val="2"/>
          </rPr>
          <t>Fabrizio:</t>
        </r>
        <r>
          <rPr>
            <sz val="9"/>
            <rFont val="Tahoma"/>
            <family val="2"/>
          </rPr>
          <t xml:space="preserve">
Le variazioni al livello di consenso "Base" dovranno esser annotate separatamente, salvo che per l'eccesso di famiglie destinate ai lavori in miniera (viene indicato più in basso. sotto i PX assegnati al governante). Qui viene annotato solo il consenso "Attuale".
In base al consenso "attuale", il file elabora lo stato del possedimento ed i modificatori alle entrate.</t>
        </r>
      </text>
    </comment>
    <comment ref="J80" authorId="2">
      <text>
        <r>
          <rPr>
            <b/>
            <sz val="9"/>
            <rFont val="Tahoma"/>
            <family val="2"/>
          </rPr>
          <t>Fabrizio:</t>
        </r>
        <r>
          <rPr>
            <sz val="9"/>
            <rFont val="Tahoma"/>
            <family val="2"/>
          </rPr>
          <t xml:space="preserve">
N.B. ogni esa da 24 mg che produca oltre 15000 m.o./mese di imposte su risorse deve avere governante vassallo, altrimenti se ne perde perde il 10-100%. </t>
        </r>
      </text>
    </comment>
    <comment ref="F101" authorId="0">
      <text>
        <r>
          <rPr>
            <b/>
            <sz val="8"/>
            <color indexed="8"/>
            <rFont val="Tahoma"/>
            <family val="2"/>
          </rPr>
          <t xml:space="preserve">Fabrizio:
</t>
        </r>
        <r>
          <rPr>
            <sz val="8"/>
            <color indexed="8"/>
            <rFont val="Tahoma"/>
            <family val="2"/>
          </rPr>
          <t>Il</t>
        </r>
        <r>
          <rPr>
            <sz val="8"/>
            <color indexed="8"/>
            <rFont val="Tahoma"/>
            <family val="2"/>
          </rPr>
          <t xml:space="preserve"> numero qui riprodotto indica se hai arruolato parte, tutti o troppi  individui rispetto a quelli disponibili nel feudo.
Per incrementare il numero di singoli disponibili va aumentata la percentuale di singoli disponibili sul totale di popolazione (cella C28), il numero di di schiavi (cella G28) o di mercenari arruolati (cella I28).</t>
        </r>
      </text>
    </comment>
    <comment ref="J72" authorId="0">
      <text>
        <r>
          <rPr>
            <b/>
            <sz val="9"/>
            <color indexed="8"/>
            <rFont val="Tahoma"/>
            <family val="2"/>
          </rPr>
          <t>Fabrizio:</t>
        </r>
        <r>
          <rPr>
            <sz val="9"/>
            <color indexed="8"/>
            <rFont val="Tahoma"/>
            <family val="2"/>
          </rPr>
          <t xml:space="preserve">
Qui sono aggiunte le unità di cibo ricevute (se positivo) o richieste (se negativo) dai feudi vassalli.
</t>
        </r>
        <r>
          <rPr>
            <sz val="10"/>
            <color indexed="8"/>
            <rFont val="Sans-PS"/>
            <family val="0"/>
          </rPr>
          <t xml:space="preserve">
</t>
        </r>
        <r>
          <rPr>
            <sz val="9"/>
            <color indexed="8"/>
            <rFont val="Tahoma"/>
            <family val="2"/>
          </rPr>
          <t>Da qui è possibile verificare se, nel regno, si soffra o meno la fame</t>
        </r>
      </text>
    </comment>
    <comment ref="G79" authorId="0">
      <text>
        <r>
          <rPr>
            <b/>
            <sz val="8"/>
            <color indexed="8"/>
            <rFont val="Tahoma"/>
            <family val="2"/>
          </rPr>
          <t>Fabrizio:</t>
        </r>
        <r>
          <rPr>
            <sz val="8"/>
            <color indexed="8"/>
            <rFont val="Tahoma"/>
            <family val="2"/>
          </rPr>
          <t xml:space="preserve">
Qui vengono sommate le eventuali spese per sostentamento della popolazione (in caso di carenza di cibo) e la eventuale percentuale di perdite ulteriori quale la conseguenza di eventuali azioni del governante o di eventi esterni (quali corruzione, razzie, guerre, etc).
Queste ultime dovrebbero esser meglio descritto nelle "NOTE SUL DOMINIO".
</t>
        </r>
      </text>
    </comment>
    <comment ref="G77" authorId="0">
      <text>
        <r>
          <rPr>
            <b/>
            <sz val="8"/>
            <color indexed="8"/>
            <rFont val="Tahoma"/>
            <family val="2"/>
          </rPr>
          <t xml:space="preserve">Fabrizio: 
</t>
        </r>
        <r>
          <rPr>
            <sz val="8"/>
            <color indexed="8"/>
            <rFont val="Tahoma"/>
            <family val="2"/>
          </rPr>
          <t xml:space="preserve">La Tassa sul Sale è l'imposta che il feudatario paga al suo superiore (di norma è pari al 20% di tutte le entrate).
Il file detrae automaticamente da questa somma le spese per le festività indette dal superiore.
</t>
        </r>
        <r>
          <rPr>
            <sz val="10"/>
            <color indexed="8"/>
            <rFont val="Sans-PS"/>
            <family val="0"/>
          </rPr>
          <t xml:space="preserve">
</t>
        </r>
        <r>
          <rPr>
            <sz val="8"/>
            <color indexed="8"/>
            <rFont val="Tahoma"/>
            <family val="2"/>
          </rPr>
          <t>Se il feudatario non riconosce alcun superiore (è indipendente), questa tassa è pari a 0%.</t>
        </r>
      </text>
    </comment>
    <comment ref="C72" authorId="0">
      <text>
        <r>
          <rPr>
            <b/>
            <sz val="9"/>
            <color indexed="8"/>
            <rFont val="Tahoma"/>
            <family val="2"/>
          </rPr>
          <t>Fabrizio:</t>
        </r>
        <r>
          <rPr>
            <sz val="9"/>
            <color indexed="8"/>
            <rFont val="Tahoma"/>
            <family val="2"/>
          </rPr>
          <t xml:space="preserve">
Inserisci il simbolo usato per distinguerlo sulla mappa.</t>
        </r>
      </text>
    </comment>
    <comment ref="A13" authorId="0">
      <text>
        <r>
          <rPr>
            <b/>
            <sz val="8"/>
            <color indexed="8"/>
            <rFont val="Tahoma"/>
            <family val="2"/>
          </rPr>
          <t>Fabrizio:</t>
        </r>
        <r>
          <rPr>
            <sz val="8"/>
            <color indexed="8"/>
            <rFont val="Tahoma"/>
            <family val="2"/>
          </rPr>
          <t xml:space="preserve">
Qui vanno riportati gli esagoni dil territorio, raggruppandoli per tipi di terreno (ad es. pianura) e, se possibile, per medesime risorse.
</t>
        </r>
      </text>
    </comment>
    <comment ref="K27" authorId="0">
      <text>
        <r>
          <rPr>
            <b/>
            <sz val="8"/>
            <color indexed="8"/>
            <rFont val="Tahoma"/>
            <family val="2"/>
          </rPr>
          <t>Fabrizio:</t>
        </r>
        <r>
          <rPr>
            <sz val="8"/>
            <color indexed="8"/>
            <rFont val="Tahoma"/>
            <family val="2"/>
          </rPr>
          <t xml:space="preserve">
E' il livello delle Entrate ordinarie in base a D&amp;D I ed.</t>
        </r>
      </text>
    </comment>
    <comment ref="B66" authorId="0">
      <text>
        <r>
          <rPr>
            <b/>
            <sz val="8"/>
            <color indexed="8"/>
            <rFont val="Tahoma"/>
            <family val="2"/>
          </rPr>
          <t xml:space="preserve">Fabrizio:
</t>
        </r>
        <r>
          <rPr>
            <sz val="8"/>
            <color indexed="8"/>
            <rFont val="Tahoma"/>
            <family val="2"/>
          </rPr>
          <t>A fine anno, se lo si desidera, i commercianti possono consegnare un oggetto comune (o materiali: es° pietra da costruzione) per un valore massimo pari a quello delle Entrate Ordinarie della singola risorsa commerciale.</t>
        </r>
      </text>
    </comment>
    <comment ref="B67" authorId="0">
      <text>
        <r>
          <rPr>
            <b/>
            <sz val="8"/>
            <color indexed="8"/>
            <rFont val="Tahoma"/>
            <family val="2"/>
          </rPr>
          <t xml:space="preserve">Fabrizio:
</t>
        </r>
        <r>
          <rPr>
            <sz val="8"/>
            <color indexed="8"/>
            <rFont val="Tahoma"/>
            <family val="2"/>
          </rPr>
          <t>A fine anno, se lo si desidera, i commercianti possono consegnare un oggetto comune (o materiali: es° pietra da costruzione) per un valore massimo pari a quello delle Entrate Ordinarie della singola risorsa commerciale.</t>
        </r>
      </text>
    </comment>
    <comment ref="B111" authorId="2">
      <text>
        <r>
          <rPr>
            <sz val="9"/>
            <rFont val="Tahoma"/>
            <family val="2"/>
          </rPr>
          <t>Rules Cyclopedia: subordinati al Contabile.
- costo 20/mese.
Da Bruce Heard in "More Economics":
- 1 gabelliere ogni 2500 abitanti * (salvo i nomadi).</t>
        </r>
      </text>
    </comment>
    <comment ref="B112" authorId="2">
      <text>
        <r>
          <rPr>
            <sz val="9"/>
            <rFont val="Tahoma"/>
            <family val="2"/>
          </rPr>
          <t>Rules Cyclopedia: subordinato solo al Lord</t>
        </r>
      </text>
    </comment>
    <comment ref="B114" authorId="2">
      <text>
        <r>
          <rPr>
            <sz val="9"/>
            <rFont val="Tahoma"/>
            <family val="2"/>
          </rPr>
          <t>Rules Cyclopedia: subordinato al Maggiordomo Capo</t>
        </r>
      </text>
    </comment>
    <comment ref="B115" authorId="2">
      <text>
        <r>
          <rPr>
            <sz val="9"/>
            <rFont val="Tahoma"/>
            <family val="2"/>
          </rPr>
          <t>Rules Cyclopedia: subordinato al Maggiordomo Capo</t>
        </r>
      </text>
    </comment>
    <comment ref="B125" authorId="2">
      <text>
        <r>
          <rPr>
            <sz val="9"/>
            <rFont val="Tahoma"/>
            <family val="2"/>
          </rPr>
          <t xml:space="preserve">Rules Cyclopedia: </t>
        </r>
        <r>
          <rPr>
            <b/>
            <sz val="9"/>
            <rFont val="Tahoma"/>
            <family val="2"/>
          </rPr>
          <t>s</t>
        </r>
        <r>
          <rPr>
            <sz val="9"/>
            <rFont val="Tahoma"/>
            <family val="2"/>
          </rPr>
          <t>ubordinato al Lord</t>
        </r>
      </text>
    </comment>
    <comment ref="B126" authorId="2">
      <text>
        <r>
          <rPr>
            <sz val="9"/>
            <rFont val="Tahoma"/>
            <family val="2"/>
          </rPr>
          <t xml:space="preserve">Rules Cyclopedia: subordinato al Siniscalco (od al Lord)
</t>
        </r>
      </text>
    </comment>
    <comment ref="B127" authorId="2">
      <text>
        <r>
          <rPr>
            <sz val="9"/>
            <rFont val="Tahoma"/>
            <family val="2"/>
          </rPr>
          <t>Rules Cyclopedia: subordinato al Castellano</t>
        </r>
      </text>
    </comment>
    <comment ref="B129" authorId="2">
      <text>
        <r>
          <rPr>
            <sz val="9"/>
            <rFont val="Tahoma"/>
            <family val="2"/>
          </rPr>
          <t>Rules Cyclopedia: subordinato al Castellano</t>
        </r>
      </text>
    </comment>
    <comment ref="B132" authorId="2">
      <text>
        <r>
          <rPr>
            <sz val="9"/>
            <rFont val="Tahoma"/>
            <family val="2"/>
          </rPr>
          <t>Rules Cyclopedia: subordinato al Castellano</t>
        </r>
      </text>
    </comment>
    <comment ref="B133" authorId="2">
      <text>
        <r>
          <rPr>
            <sz val="9"/>
            <rFont val="Tahoma"/>
            <family val="2"/>
          </rPr>
          <t>Rules Cyclopedia: subordinato al Castellano</t>
        </r>
      </text>
    </comment>
    <comment ref="B134" authorId="2">
      <text>
        <r>
          <rPr>
            <sz val="9"/>
            <rFont val="Tahoma"/>
            <family val="2"/>
          </rPr>
          <t>Rules Cyclopedia: subordinato al Siniscalco</t>
        </r>
      </text>
    </comment>
    <comment ref="B135" authorId="2">
      <text>
        <r>
          <rPr>
            <sz val="9"/>
            <rFont val="Tahoma"/>
            <family val="2"/>
          </rPr>
          <t xml:space="preserve">Rules Cyclopedia: subordinato al Siniscalco (od al Lord)
</t>
        </r>
      </text>
    </comment>
    <comment ref="B136" authorId="2">
      <text>
        <r>
          <rPr>
            <sz val="9"/>
            <rFont val="Tahoma"/>
            <family val="2"/>
          </rPr>
          <t xml:space="preserve">Rules Cyclopedia: subordinato al Primo Magistrato
</t>
        </r>
      </text>
    </comment>
    <comment ref="B137" authorId="2">
      <text>
        <r>
          <rPr>
            <sz val="9"/>
            <rFont val="Tahoma"/>
            <family val="2"/>
          </rPr>
          <t xml:space="preserve">Rules Cyclopedia: subordinato al Primo Magistrato
</t>
        </r>
      </text>
    </comment>
    <comment ref="H28" authorId="1">
      <text>
        <r>
          <rPr>
            <b/>
            <sz val="9"/>
            <rFont val="Tahoma"/>
            <family val="2"/>
          </rPr>
          <t>Fabrizio:</t>
        </r>
        <r>
          <rPr>
            <sz val="9"/>
            <rFont val="Tahoma"/>
            <family val="2"/>
          </rPr>
          <t xml:space="preserve">
Qui è possibile annotare il numero relativo ai vari modificatori (positivi o negativi) che si applicano alla produzione di cibo.
La "legenda" in basso spiega il significato dei numeri.</t>
        </r>
      </text>
    </comment>
    <comment ref="I28" authorId="0">
      <text>
        <r>
          <rPr>
            <b/>
            <sz val="10"/>
            <color indexed="8"/>
            <rFont val="Tahoma"/>
            <family val="2"/>
          </rPr>
          <t>Fabrizio:</t>
        </r>
        <r>
          <rPr>
            <sz val="10"/>
            <color indexed="8"/>
            <rFont val="Tahoma"/>
            <family val="2"/>
          </rPr>
          <t xml:space="preserve">
Qui può esser inserito il modificatore alla resa (netta) delle risorse vegetali ed animali: questo numero incide sulle unità di cibo prodotte.
Questo numero è pari alla somma dei singoli modificatori  positivi o negativi (+/- 0,50 ciascuno) che sono stati applicati ed elencatii con numeri nella colonna che precede.</t>
        </r>
      </text>
    </comment>
    <comment ref="K3" authorId="0">
      <text>
        <r>
          <rPr>
            <b/>
            <sz val="8"/>
            <color indexed="8"/>
            <rFont val="Tahoma"/>
            <family val="2"/>
          </rPr>
          <t>Fabrizio:</t>
        </r>
        <r>
          <rPr>
            <sz val="8"/>
            <color indexed="8"/>
            <rFont val="Tahoma"/>
            <family val="2"/>
          </rPr>
          <t xml:space="preserve">
Basato su D&amp;D III ed.
Indica il valore dell'oggetto più costoso che può essere reperito in un insediamento.</t>
        </r>
      </text>
    </comment>
    <comment ref="C177" authorId="3">
      <text>
        <r>
          <rPr>
            <b/>
            <sz val="9"/>
            <rFont val="Tahoma"/>
            <family val="2"/>
          </rPr>
          <t>principale:</t>
        </r>
        <r>
          <rPr>
            <sz val="9"/>
            <rFont val="Tahoma"/>
            <family val="2"/>
          </rPr>
          <t xml:space="preserve">
Qui viene indicato il numero di armieri (od anche solo una frazione) impiegati per le diverse produzioni.
NB: il costo e la capacità produttiva degli armieri assoldati è determinato ipotizzando che essi siano assistiti da 2 fabbri e 4 assistenti.
Quindi, anche ai fini del calcolo della popolazione, ogni armiere impegna in realtà 7 abitanti (l'armiere qui indicato più i suoi "6" assistenti).</t>
        </r>
      </text>
    </comment>
    <comment ref="J68" authorId="0">
      <text>
        <r>
          <rPr>
            <b/>
            <sz val="8"/>
            <color indexed="8"/>
            <rFont val="Tahoma"/>
            <family val="2"/>
          </rPr>
          <t>Fabrizio:</t>
        </r>
        <r>
          <rPr>
            <sz val="8"/>
            <color indexed="8"/>
            <rFont val="Tahoma"/>
            <family val="2"/>
          </rPr>
          <t xml:space="preserve">
Iil consumo di cibo è rapportato al numero di mesi considerati.</t>
        </r>
      </text>
    </comment>
    <comment ref="I27" authorId="0">
      <text>
        <r>
          <rPr>
            <b/>
            <sz val="8"/>
            <color indexed="8"/>
            <rFont val="Tahoma"/>
            <family val="2"/>
          </rPr>
          <t>Fabrizio:</t>
        </r>
        <r>
          <rPr>
            <sz val="8"/>
            <color indexed="8"/>
            <rFont val="Tahoma"/>
            <family val="2"/>
          </rPr>
          <t xml:space="preserve">
E' il livello delle tasse in base a D&amp;D I ed.</t>
        </r>
      </text>
    </comment>
    <comment ref="K73" authorId="2">
      <text>
        <r>
          <rPr>
            <sz val="9"/>
            <rFont val="Tahoma"/>
            <family val="2"/>
          </rPr>
          <t>Il costo di 1 unità di cibo (cibo necessario a sfamare 1 lavoratore per "2" settimane) è di 2 m.o.
Questo costo è ricavato dal Gaz. 11 Darokin, in cui si precisa che il cibo sufficiente a sfamare un uomo per "1" settimana costa 1 m.o.</t>
        </r>
      </text>
    </comment>
    <comment ref="D138" authorId="0">
      <text>
        <r>
          <rPr>
            <b/>
            <sz val="8"/>
            <color indexed="8"/>
            <rFont val="Tahoma"/>
            <family val="2"/>
          </rPr>
          <t>Fabrizio:</t>
        </r>
        <r>
          <rPr>
            <sz val="8"/>
            <color indexed="8"/>
            <rFont val="Tahoma"/>
            <family val="2"/>
          </rPr>
          <t xml:space="preserve">
Inserire il n.° di settimane di addestramento (min. 2 max 20).</t>
        </r>
      </text>
    </comment>
  </commentList>
</comments>
</file>

<file path=xl/comments2.xml><?xml version="1.0" encoding="utf-8"?>
<comments xmlns="http://schemas.openxmlformats.org/spreadsheetml/2006/main">
  <authors>
    <author/>
    <author>Utente Windows</author>
  </authors>
  <commentList>
    <comment ref="B165" authorId="0">
      <text>
        <r>
          <rPr>
            <b/>
            <sz val="8"/>
            <color indexed="8"/>
            <rFont val="Tahoma"/>
            <family val="2"/>
          </rPr>
          <t>Fabrizio:</t>
        </r>
        <r>
          <rPr>
            <sz val="8"/>
            <color indexed="8"/>
            <rFont val="Tahoma"/>
            <family val="2"/>
          </rPr>
          <t xml:space="preserve">
Ho utilizzato i dati dei libri dei giocatori D&amp;D master e D&amp;D expert. In caso di discordanza prevale il libro D&amp;D master.</t>
        </r>
      </text>
    </comment>
    <comment ref="C43" authorId="1">
      <text>
        <r>
          <rPr>
            <b/>
            <sz val="9"/>
            <rFont val="Tahoma"/>
            <family val="2"/>
          </rPr>
          <t xml:space="preserve">DoE, volume 2, pag. 31:
</t>
        </r>
        <r>
          <rPr>
            <sz val="9"/>
            <rFont val="Tahoma"/>
            <family val="2"/>
          </rPr>
          <t>I tenenti della Flotta Aerea di Retebius (di livello 5) ricevono una paga di 100 mo/mese.</t>
        </r>
      </text>
    </comment>
    <comment ref="C46" authorId="1">
      <text>
        <r>
          <rPr>
            <b/>
            <sz val="9"/>
            <rFont val="Tahoma"/>
            <family val="2"/>
          </rPr>
          <t>Set 2 Expert, pag. 28:</t>
        </r>
        <r>
          <rPr>
            <sz val="9"/>
            <rFont val="Tahoma"/>
            <family val="2"/>
          </rPr>
          <t xml:space="preserve">
Il costo di un capitano è indicato in 250 mo/mese.</t>
        </r>
      </text>
    </comment>
    <comment ref="C56" authorId="1">
      <text>
        <r>
          <rPr>
            <b/>
            <sz val="9"/>
            <rFont val="Tahoma"/>
            <family val="2"/>
          </rPr>
          <t>Set 2 Expert, pag. 28:</t>
        </r>
        <r>
          <rPr>
            <sz val="9"/>
            <rFont val="Tahoma"/>
            <family val="2"/>
          </rPr>
          <t xml:space="preserve">
Il costo di un marinaio è indicato in 10 mo/mese.</t>
        </r>
      </text>
    </comment>
    <comment ref="C60" authorId="1">
      <text>
        <r>
          <rPr>
            <b/>
            <sz val="9"/>
            <rFont val="Tahoma"/>
            <family val="2"/>
          </rPr>
          <t>Set 2 Expert, pag. 28:</t>
        </r>
        <r>
          <rPr>
            <sz val="9"/>
            <rFont val="Tahoma"/>
            <family val="2"/>
          </rPr>
          <t xml:space="preserve">
Il costo di un navigatore è indicato in 150 mo/mese.</t>
        </r>
      </text>
    </comment>
    <comment ref="C87" authorId="1">
      <text>
        <r>
          <rPr>
            <sz val="9"/>
            <rFont val="Tahoma"/>
            <family val="2"/>
          </rPr>
          <t xml:space="preserve">Razze tratte da RC, </t>
        </r>
        <r>
          <rPr>
            <b/>
            <u val="single"/>
            <sz val="9"/>
            <rFont val="Tahoma"/>
            <family val="2"/>
          </rPr>
          <t>AC9</t>
        </r>
        <r>
          <rPr>
            <sz val="9"/>
            <rFont val="Tahoma"/>
            <family val="2"/>
          </rPr>
          <t>, DMR2, X1 e X7 in base ai seguenti criteri:
- umanoidi con non piu di 3+ DV a livello base;
- gruppi sociali organizzati (dim. max 20+ individui);
- non esclusivamente territoriali;
- non spaventosi.</t>
        </r>
      </text>
    </comment>
  </commentList>
</comments>
</file>

<file path=xl/comments3.xml><?xml version="1.0" encoding="utf-8"?>
<comments xmlns="http://schemas.openxmlformats.org/spreadsheetml/2006/main">
  <authors>
    <author>principale</author>
  </authors>
  <commentList>
    <comment ref="G40" authorId="0">
      <text>
        <r>
          <rPr>
            <b/>
            <sz val="9"/>
            <rFont val="Tahoma"/>
            <family val="2"/>
          </rPr>
          <t>nota:</t>
        </r>
        <r>
          <rPr>
            <sz val="9"/>
            <rFont val="Tahoma"/>
            <family val="2"/>
          </rPr>
          <t xml:space="preserve"> 
in realtà, i traduttori dell'ATL4 hanno convertito 60 miglia in 96 km (ovvero 1 mg =1,6 km).
Qui ho preferito adeguarmi alla conversione applicata nel set expert di 1 mg = 1,5 km.
</t>
        </r>
      </text>
    </comment>
  </commentList>
</comments>
</file>

<file path=xl/sharedStrings.xml><?xml version="1.0" encoding="utf-8"?>
<sst xmlns="http://schemas.openxmlformats.org/spreadsheetml/2006/main" count="1161" uniqueCount="879">
  <si>
    <t>Culti Elfici</t>
  </si>
  <si>
    <t>Vicecap. NON creano cibo!</t>
  </si>
  <si>
    <t>Punti Scafo</t>
  </si>
  <si>
    <t>80-100</t>
  </si>
  <si>
    <t>100-120</t>
  </si>
  <si>
    <t>120-150</t>
  </si>
  <si>
    <t>60-80</t>
  </si>
  <si>
    <t>60-90</t>
  </si>
  <si>
    <t>120-180</t>
  </si>
  <si>
    <t>160-220</t>
  </si>
  <si>
    <t>(precisare)</t>
  </si>
  <si>
    <t>R. Vegetali</t>
  </si>
  <si>
    <t>200</t>
  </si>
  <si>
    <t>Cibo da chierici</t>
  </si>
  <si>
    <t>Bilancio Alimentare</t>
  </si>
  <si>
    <t>come sopra</t>
  </si>
  <si>
    <t>In Pace o in Guerra?</t>
  </si>
  <si>
    <t>C'è milizia contadina?</t>
  </si>
  <si>
    <t>Produzione armi</t>
  </si>
  <si>
    <t>Tipo di territori (8 miglia)</t>
  </si>
  <si>
    <t>Risorse (vegetali)</t>
  </si>
  <si>
    <t>Risorse (animali - terra)</t>
  </si>
  <si>
    <t>Risorse (animali - acqua)</t>
  </si>
  <si>
    <t>Risorse (minerali)</t>
  </si>
  <si>
    <t>Unità di cibo create da chierici</t>
  </si>
  <si>
    <t>Tipo Dominio</t>
  </si>
  <si>
    <t>14a</t>
  </si>
  <si>
    <t>14b</t>
  </si>
  <si>
    <t>Lista 14b</t>
  </si>
  <si>
    <t>Lista 14a</t>
  </si>
  <si>
    <t>Lista 18</t>
  </si>
  <si>
    <t>persi oltre 50% marinai</t>
  </si>
  <si>
    <t>persi oltre 50% rematori</t>
  </si>
  <si>
    <t>Tipo di Navi</t>
  </si>
  <si>
    <t>Marinai</t>
  </si>
  <si>
    <t>Rematori</t>
  </si>
  <si>
    <t>N. di</t>
  </si>
  <si>
    <t>Navi</t>
  </si>
  <si>
    <t>Generatore di Flotte</t>
  </si>
  <si>
    <t>Galea Piccola</t>
  </si>
  <si>
    <t>Galea Grande</t>
  </si>
  <si>
    <t>Galea da Guerra</t>
  </si>
  <si>
    <t>Vascello</t>
  </si>
  <si>
    <t>Trasporto Truppe</t>
  </si>
  <si>
    <t xml:space="preserve">       Composizione degli Equipaggi:</t>
  </si>
  <si>
    <t>Velocità:</t>
  </si>
  <si>
    <t>Km/giorno e mt/round</t>
  </si>
  <si>
    <t>27/135 --- 27/45</t>
  </si>
  <si>
    <t>27/108 --- 27/36</t>
  </si>
  <si>
    <t>18/108 --- 18/36</t>
  </si>
  <si>
    <t>0/90 --- 27</t>
  </si>
  <si>
    <t xml:space="preserve">0/135 --- 45  </t>
  </si>
  <si>
    <t xml:space="preserve">0/108 --- 36  </t>
  </si>
  <si>
    <t>N° famiglie</t>
  </si>
  <si>
    <t>N°</t>
  </si>
  <si>
    <t>Indetta per:</t>
  </si>
  <si>
    <t>Sudditi in festa</t>
  </si>
  <si>
    <t>V.B.</t>
  </si>
  <si>
    <t>Classe:</t>
  </si>
  <si>
    <t>POPOLAZIONE:</t>
  </si>
  <si>
    <t>PRODUZIONE:</t>
  </si>
  <si>
    <t>Feste:</t>
  </si>
  <si>
    <t>Militari:</t>
  </si>
  <si>
    <t>Acri/famiglia</t>
  </si>
  <si>
    <t xml:space="preserve">Siniscalco </t>
  </si>
  <si>
    <t xml:space="preserve">Maggiordomo capo  </t>
  </si>
  <si>
    <t>Patriarca</t>
  </si>
  <si>
    <t>Saggio</t>
  </si>
  <si>
    <t>Alchimista</t>
  </si>
  <si>
    <t>Addestratore animali</t>
  </si>
  <si>
    <t>Specialisti:</t>
  </si>
  <si>
    <t>Contabile</t>
  </si>
  <si>
    <t>Leader:</t>
  </si>
  <si>
    <t>Quali</t>
  </si>
  <si>
    <t>(dove)</t>
  </si>
  <si>
    <t>Abitanti</t>
  </si>
  <si>
    <t>costo/mese</t>
  </si>
  <si>
    <t>Fanti Leggeri DV 1</t>
  </si>
  <si>
    <t>Fanti Leggeri DV 2</t>
  </si>
  <si>
    <t>Balestrieri DV 1</t>
  </si>
  <si>
    <t>Balestrieri DV 2</t>
  </si>
  <si>
    <t>Balestr. a cav. DV 1</t>
  </si>
  <si>
    <t>Balestr. a cav. DV 2</t>
  </si>
  <si>
    <t>Sergenti DV 3</t>
  </si>
  <si>
    <t>Sergenti DV 4</t>
  </si>
  <si>
    <t>Tenenti DV 5</t>
  </si>
  <si>
    <t>Tenenti DV 6</t>
  </si>
  <si>
    <t>Capitani DV 7</t>
  </si>
  <si>
    <t>Capitani DV 8</t>
  </si>
  <si>
    <t>Nani</t>
  </si>
  <si>
    <t>Fanti Pesanti DV 1</t>
  </si>
  <si>
    <t>Fanti Pesanti DV 2</t>
  </si>
  <si>
    <t>Tipo di mercenario</t>
  </si>
  <si>
    <t>Moltiplicatore costi:</t>
  </si>
  <si>
    <t>per razza</t>
  </si>
  <si>
    <t>per classe</t>
  </si>
  <si>
    <t>Classe</t>
  </si>
  <si>
    <t>Razza</t>
  </si>
  <si>
    <t>Equipaggiam./Varie</t>
  </si>
  <si>
    <t>Barbaro</t>
  </si>
  <si>
    <t>Bardo</t>
  </si>
  <si>
    <t>Guerriero</t>
  </si>
  <si>
    <t>Ladro</t>
  </si>
  <si>
    <t>Paladino</t>
  </si>
  <si>
    <t>Ranger</t>
  </si>
  <si>
    <t>Stregone</t>
  </si>
  <si>
    <t>Druido</t>
  </si>
  <si>
    <t>Monaco</t>
  </si>
  <si>
    <t>Arcieri a cav. DV 1</t>
  </si>
  <si>
    <t>Arcieri a cav. DV 2</t>
  </si>
  <si>
    <t>Sale</t>
  </si>
  <si>
    <t>Imposta</t>
  </si>
  <si>
    <t>Mithril*</t>
  </si>
  <si>
    <t>Apicoltura</t>
  </si>
  <si>
    <t>pianura</t>
  </si>
  <si>
    <t>bosco</t>
  </si>
  <si>
    <t>collina</t>
  </si>
  <si>
    <t>oasi</t>
  </si>
  <si>
    <t>Cinnabryl/Red Steel*</t>
  </si>
  <si>
    <t>Arcieri Arco C. DV 1</t>
  </si>
  <si>
    <t>Arcieri Arco C. DV 2</t>
  </si>
  <si>
    <t>Arcieri Arco L. DV 1</t>
  </si>
  <si>
    <t>Arcieri Arco L. DV 2</t>
  </si>
  <si>
    <t>Cavalieri Legg. DV 1</t>
  </si>
  <si>
    <t>Cavalieri Legg. DV 2</t>
  </si>
  <si>
    <t>Cavalieri Medi DV 1</t>
  </si>
  <si>
    <t>Cavalieri Medi DV 2</t>
  </si>
  <si>
    <t>Cavalieri Pes. DV 1</t>
  </si>
  <si>
    <t>Cavalieri Pes. DV 2</t>
  </si>
  <si>
    <t>legno</t>
  </si>
  <si>
    <t>cuoio</t>
  </si>
  <si>
    <t>cuoio + ferro</t>
  </si>
  <si>
    <t>legno + ferro</t>
  </si>
  <si>
    <t>argento</t>
  </si>
  <si>
    <t>legno/ferro</t>
  </si>
  <si>
    <t>Prod. Armi</t>
  </si>
  <si>
    <t>Materiale</t>
  </si>
  <si>
    <t>Sella+sacche+briglie</t>
  </si>
  <si>
    <t>N° pezzi/mese</t>
  </si>
  <si>
    <t>ferro o equiv.</t>
  </si>
  <si>
    <t>punti</t>
  </si>
  <si>
    <t>Leadership:</t>
  </si>
  <si>
    <t>Esperienza:</t>
  </si>
  <si>
    <t>Addestramento:</t>
  </si>
  <si>
    <t>Equipaggiam.:</t>
  </si>
  <si>
    <t>Bonus PNG liv. titolo</t>
  </si>
  <si>
    <t>Vittorie e sconfitte</t>
  </si>
  <si>
    <t>Sett. di add.(max 20)</t>
  </si>
  <si>
    <t>Sett. di add. + leader</t>
  </si>
  <si>
    <t>Mesi in servizio</t>
  </si>
  <si>
    <t>2^ arma  di = qualità</t>
  </si>
  <si>
    <t>C.A. media 5 o -</t>
  </si>
  <si>
    <t>Bonus mostri speciali</t>
  </si>
  <si>
    <t>Speciale:</t>
  </si>
  <si>
    <t>Livello del Leader</t>
  </si>
  <si>
    <t>Modific. Saggezza</t>
  </si>
  <si>
    <t>Festa di (religione)</t>
  </si>
  <si>
    <t>Festa di (feudo)</t>
  </si>
  <si>
    <t>Festa di (sup. feud.)</t>
  </si>
  <si>
    <t>Fanti Pesanti DV 3</t>
  </si>
  <si>
    <t>Fanti Leggeri DV 3</t>
  </si>
  <si>
    <t>Cavalieri Pes. DV 3</t>
  </si>
  <si>
    <t>Cavalieri Medi DV 3</t>
  </si>
  <si>
    <t>Cavalieri Legg. DV 3</t>
  </si>
  <si>
    <t>Arcieri Arco C. DV 3</t>
  </si>
  <si>
    <t>Arcieri Arco L. DV 3</t>
  </si>
  <si>
    <t>Arcieri a cav. DV 3</t>
  </si>
  <si>
    <t>Balestrieri DV 3</t>
  </si>
  <si>
    <t>Balestr. a cav. DV 3</t>
  </si>
  <si>
    <t>parametro</t>
  </si>
  <si>
    <t>stesso feudo</t>
  </si>
  <si>
    <t>Area urbana</t>
  </si>
  <si>
    <t>Commercio</t>
  </si>
  <si>
    <t>Diametro esagoni</t>
  </si>
  <si>
    <t>8 miglia</t>
  </si>
  <si>
    <t>24 miglia</t>
  </si>
  <si>
    <t>72 miglia</t>
  </si>
  <si>
    <t>Lista 1</t>
  </si>
  <si>
    <t>Lista 2</t>
  </si>
  <si>
    <t>Lista 3</t>
  </si>
  <si>
    <t>Lista 5</t>
  </si>
  <si>
    <t>Diam. Esa</t>
  </si>
  <si>
    <t>Minerali</t>
  </si>
  <si>
    <t>Lista 4</t>
  </si>
  <si>
    <t>Lista 6</t>
  </si>
  <si>
    <t>Lista 7</t>
  </si>
  <si>
    <t>Lista 8</t>
  </si>
  <si>
    <t>Lista 9</t>
  </si>
  <si>
    <t>Tipo di dominio</t>
  </si>
  <si>
    <t>Lista 10</t>
  </si>
  <si>
    <t>Viscontea</t>
  </si>
  <si>
    <t>Contea</t>
  </si>
  <si>
    <t>Marchesato</t>
  </si>
  <si>
    <t>Ducato</t>
  </si>
  <si>
    <t>Granducato</t>
  </si>
  <si>
    <t>Regno</t>
  </si>
  <si>
    <t>Impero</t>
  </si>
  <si>
    <t>Repubblica</t>
  </si>
  <si>
    <t>Stato</t>
  </si>
  <si>
    <t>Magocrazia</t>
  </si>
  <si>
    <t>Khanato</t>
  </si>
  <si>
    <t>Teocrazia</t>
  </si>
  <si>
    <t>Monarchia</t>
  </si>
  <si>
    <t>Emirato</t>
  </si>
  <si>
    <t>(= baronia clericale)</t>
  </si>
  <si>
    <t>(= ducato clericale)</t>
  </si>
  <si>
    <t>Lista 11</t>
  </si>
  <si>
    <t>---</t>
  </si>
  <si>
    <t>Fanti Medi DV 1</t>
  </si>
  <si>
    <t>Fanti Medi DV 2</t>
  </si>
  <si>
    <t>Fanti Medi DV 3</t>
  </si>
  <si>
    <t>Elfi o Nani al 100%</t>
  </si>
  <si>
    <t>infravisione</t>
  </si>
  <si>
    <t>arruolati dei mostri non</t>
  </si>
  <si>
    <t>Prezzo armi</t>
  </si>
  <si>
    <t xml:space="preserve">  &lt;- tributi TOTALI abitanti -&gt;</t>
  </si>
  <si>
    <t>Entrate lorde:</t>
  </si>
  <si>
    <t>-</t>
  </si>
  <si>
    <t>Eventuali altre feste</t>
  </si>
  <si>
    <t>Tipo Territori</t>
  </si>
  <si>
    <t>NO</t>
  </si>
  <si>
    <t>SI</t>
  </si>
  <si>
    <t>colli+bosco</t>
  </si>
  <si>
    <t>Democrazia</t>
  </si>
  <si>
    <t>Confederazione</t>
  </si>
  <si>
    <t>Dittatura</t>
  </si>
  <si>
    <t>Oligarchia</t>
  </si>
  <si>
    <t>TRIBUTI:</t>
  </si>
  <si>
    <t>villaggio stessa nazione</t>
  </si>
  <si>
    <t>valore fittizio</t>
  </si>
  <si>
    <t>Resa netta*</t>
  </si>
  <si>
    <t>2) BILANCIO ECONOMICO:</t>
  </si>
  <si>
    <t>Lista 12</t>
  </si>
  <si>
    <t>NON ATTIVO</t>
  </si>
  <si>
    <t>ATTIVO</t>
  </si>
  <si>
    <t>SCHIAVI</t>
  </si>
  <si>
    <t>EROI DV 10</t>
  </si>
  <si>
    <t>EROI DV 11</t>
  </si>
  <si>
    <t>EROI DV 12</t>
  </si>
  <si>
    <t>EROI DV 13</t>
  </si>
  <si>
    <t>EROI DV 14</t>
  </si>
  <si>
    <t>EROI DV 15</t>
  </si>
  <si>
    <t>EROI DV 16</t>
  </si>
  <si>
    <t>EROI DV 17</t>
  </si>
  <si>
    <t>EROI DV 18</t>
  </si>
  <si>
    <t>EROI DV 19</t>
  </si>
  <si>
    <t>EROI DV 20</t>
  </si>
  <si>
    <t>EROI DV 21</t>
  </si>
  <si>
    <t>EROI DV 22</t>
  </si>
  <si>
    <t>EROI DV 23</t>
  </si>
  <si>
    <t>EROI DV 24</t>
  </si>
  <si>
    <t>EROI DV 25</t>
  </si>
  <si>
    <t>EROI DV 26</t>
  </si>
  <si>
    <t>EROI DV 27</t>
  </si>
  <si>
    <t>EROI DV 28</t>
  </si>
  <si>
    <t>EROI DV 29</t>
  </si>
  <si>
    <t>EROI DV 30</t>
  </si>
  <si>
    <t>Attuale:</t>
  </si>
  <si>
    <t>Area (acri)</t>
  </si>
  <si>
    <t>Territorio in cui si trova</t>
  </si>
  <si>
    <t>= Area (acri)</t>
  </si>
  <si>
    <t>Diametro esagoni (miglia):</t>
  </si>
  <si>
    <t>steppa</t>
  </si>
  <si>
    <t>Riferimento</t>
  </si>
  <si>
    <t>trovato in Kcal</t>
  </si>
  <si>
    <t>Famiglie Ricche</t>
  </si>
  <si>
    <t>(come sopra)</t>
  </si>
  <si>
    <t>Famiglie</t>
  </si>
  <si>
    <t>Densità:</t>
  </si>
  <si>
    <t>N di esa:</t>
  </si>
  <si>
    <t>acri x coltiv.</t>
  </si>
  <si>
    <t>Acri utilizzabili</t>
  </si>
  <si>
    <t>Acri x pascoli</t>
  </si>
  <si>
    <t>Decima Chiesa:</t>
  </si>
  <si>
    <t>C'è milizia?</t>
  </si>
  <si>
    <r>
      <t>3) INDICE DI CONSENSO:</t>
    </r>
    <r>
      <rPr>
        <sz val="10"/>
        <color indexed="8"/>
        <rFont val="Arial"/>
        <family val="2"/>
      </rPr>
      <t xml:space="preserve"> Livello Base:</t>
    </r>
  </si>
  <si>
    <t>Famiglie/Territorio:</t>
  </si>
  <si>
    <t>Tributi ricevuti:</t>
  </si>
  <si>
    <t>3) INSEDIAMENTI:</t>
  </si>
  <si>
    <t>1) RAZZE (metti percentuale):</t>
  </si>
  <si>
    <t>2) FEDI E CULTI (metti percentuale):</t>
  </si>
  <si>
    <t>Militocrazia</t>
  </si>
  <si>
    <t>-----------------</t>
  </si>
  <si>
    <t>----------------</t>
  </si>
  <si>
    <t>Milizia DV 1</t>
  </si>
  <si>
    <t>(ingegnere assedio: 1000/mese)</t>
  </si>
  <si>
    <t>(X, RC)</t>
  </si>
  <si>
    <t>(CM, RC)</t>
  </si>
  <si>
    <t>(X, CM, M, RC)</t>
  </si>
  <si>
    <t>(M)</t>
  </si>
  <si>
    <t>(CM, CM2, RC)</t>
  </si>
  <si>
    <r>
      <t xml:space="preserve">(X, </t>
    </r>
    <r>
      <rPr>
        <b/>
        <u val="single"/>
        <sz val="10"/>
        <color indexed="8"/>
        <rFont val="Arial"/>
        <family val="2"/>
      </rPr>
      <t>CM2</t>
    </r>
    <r>
      <rPr>
        <sz val="10"/>
        <color indexed="8"/>
        <rFont val="Arial"/>
        <family val="2"/>
      </rPr>
      <t>)</t>
    </r>
  </si>
  <si>
    <t>(CM2)</t>
  </si>
  <si>
    <r>
      <t xml:space="preserve">(CM, </t>
    </r>
    <r>
      <rPr>
        <b/>
        <u val="single"/>
        <sz val="10"/>
        <color indexed="8"/>
        <rFont val="Arial"/>
        <family val="2"/>
      </rPr>
      <t>CM2</t>
    </r>
    <r>
      <rPr>
        <sz val="10"/>
        <color indexed="8"/>
        <rFont val="Arial"/>
        <family val="2"/>
      </rPr>
      <t>, RC)</t>
    </r>
  </si>
  <si>
    <r>
      <t xml:space="preserve">(CM, CM2, </t>
    </r>
    <r>
      <rPr>
        <b/>
        <u val="single"/>
        <sz val="10"/>
        <color indexed="8"/>
        <rFont val="Arial"/>
        <family val="2"/>
      </rPr>
      <t>RC</t>
    </r>
    <r>
      <rPr>
        <sz val="10"/>
        <color indexed="8"/>
        <rFont val="Arial"/>
        <family val="2"/>
      </rPr>
      <t>)</t>
    </r>
  </si>
  <si>
    <t>(CM2, RC)</t>
  </si>
  <si>
    <t>Ministri</t>
  </si>
  <si>
    <t>G3-5 (20 mo/DV)</t>
  </si>
  <si>
    <t>G5-8 (20 mo/DV)</t>
  </si>
  <si>
    <t>Villaggio &lt;1000 ab.</t>
  </si>
  <si>
    <t>Paese Gr. &lt;15K ab.</t>
  </si>
  <si>
    <t>Paese Pic. &lt;5K ab.</t>
  </si>
  <si>
    <t>Diaconia (Teocr.)</t>
  </si>
  <si>
    <t>Patriarcato (Teocr.)</t>
  </si>
  <si>
    <t>Città Pic. &lt;50K ab.</t>
  </si>
  <si>
    <t>Città Gr. &gt;50K ab.</t>
  </si>
  <si>
    <t>Capitani DV 10</t>
  </si>
  <si>
    <t>Capitani DV 9</t>
  </si>
  <si>
    <t>Sergenti DV 2</t>
  </si>
  <si>
    <t>PX per il governante:</t>
  </si>
  <si>
    <t>Massimo 1 livello/12 mesi</t>
  </si>
  <si>
    <t>Moneta Locale:</t>
  </si>
  <si>
    <t>Intelligence Thyatis:</t>
  </si>
  <si>
    <t>cfr. cavalli</t>
  </si>
  <si>
    <t>(*) arrotondato allo 0,05 più vicino</t>
  </si>
  <si>
    <t>Percentuale abitanti impiegabili (1-20%):</t>
  </si>
  <si>
    <t>SEGUACI</t>
  </si>
  <si>
    <t>acri di acqua</t>
  </si>
  <si>
    <t>Alabastro/Marmo</t>
  </si>
  <si>
    <t>Carbone/Gas/Zolfo</t>
  </si>
  <si>
    <t>Catrame/Oli minerali</t>
  </si>
  <si>
    <t>Gemme*</t>
  </si>
  <si>
    <t>Adamantio/Uranio*</t>
  </si>
  <si>
    <t>Spezie*</t>
  </si>
  <si>
    <t>SPESE:</t>
  </si>
  <si>
    <t>Tot. abitanti impiegati:</t>
  </si>
  <si>
    <t>Malus per minatori?</t>
  </si>
  <si>
    <t>Lista 13</t>
  </si>
  <si>
    <t>Pace/guerra?</t>
  </si>
  <si>
    <t>Spese del dominio:</t>
  </si>
  <si>
    <t>Spese cibo ed eventi:</t>
  </si>
  <si>
    <t>Tassa sul Sale:</t>
  </si>
  <si>
    <t>- per allevam.</t>
  </si>
  <si>
    <t>- per pesca:</t>
  </si>
  <si>
    <t>e per caccia:</t>
  </si>
  <si>
    <t>(1/2 se PNG)</t>
  </si>
  <si>
    <t>entrate ordinarie di</t>
  </si>
  <si>
    <t>pagano solo tasse</t>
  </si>
  <si>
    <t>v. § "4) note sul dominio"</t>
  </si>
  <si>
    <r>
      <rPr>
        <b/>
        <sz val="9"/>
        <color indexed="8"/>
        <rFont val="Arial"/>
        <family val="2"/>
      </rPr>
      <t>NB</t>
    </r>
    <r>
      <rPr>
        <sz val="9"/>
        <color indexed="8"/>
        <rFont val="Arial"/>
        <family val="2"/>
      </rPr>
      <t xml:space="preserve"> l'ammontare di</t>
    </r>
  </si>
  <si>
    <t>TOTALE ABITANTI</t>
  </si>
  <si>
    <t>altopiano</t>
  </si>
  <si>
    <t>Mesi di gioco considerati:</t>
  </si>
  <si>
    <t>G3-5 (250 mo/DV)</t>
  </si>
  <si>
    <t>G1-2 (250 mo/DV)</t>
  </si>
  <si>
    <t>G1</t>
  </si>
  <si>
    <t>G3</t>
  </si>
  <si>
    <t>G9</t>
  </si>
  <si>
    <t>G5</t>
  </si>
  <si>
    <t>M9+ (+250 mo/DV)</t>
  </si>
  <si>
    <t>1/250 abitanti</t>
  </si>
  <si>
    <t>Descrizione</t>
  </si>
  <si>
    <t>Tipo</t>
  </si>
  <si>
    <t>Note</t>
  </si>
  <si>
    <t>G9+ (+400 mo/DV)</t>
  </si>
  <si>
    <t>è in stato</t>
  </si>
  <si>
    <t>di guerra?</t>
  </si>
  <si>
    <t>Totale entrate:</t>
  </si>
  <si>
    <t>Famiglie impiegate su risorse V ed A:</t>
  </si>
  <si>
    <r>
      <rPr>
        <u val="single"/>
        <sz val="9"/>
        <rFont val="Arial"/>
        <family val="2"/>
      </rPr>
      <t>Territori</t>
    </r>
    <r>
      <rPr>
        <sz val="9"/>
        <rFont val="Arial"/>
        <family val="2"/>
      </rPr>
      <t>: abitanti ed area (in acri)</t>
    </r>
  </si>
  <si>
    <r>
      <rPr>
        <u val="single"/>
        <sz val="9"/>
        <rFont val="Arial"/>
        <family val="2"/>
      </rPr>
      <t>Insediamenti</t>
    </r>
    <r>
      <rPr>
        <sz val="9"/>
        <rFont val="Arial"/>
        <family val="2"/>
      </rPr>
      <t xml:space="preserve">: abitanti (totali) </t>
    </r>
    <r>
      <rPr>
        <sz val="9"/>
        <rFont val="Arial"/>
        <family val="2"/>
      </rPr>
      <t>ed area (in acri)</t>
    </r>
  </si>
  <si>
    <r>
      <t>TERRITORI</t>
    </r>
    <r>
      <rPr>
        <sz val="10"/>
        <rFont val="Arial"/>
        <family val="2"/>
      </rPr>
      <t xml:space="preserve"> (identici per tipo e risorse):</t>
    </r>
  </si>
  <si>
    <r>
      <rPr>
        <b/>
        <sz val="9"/>
        <color indexed="8"/>
        <rFont val="Arial"/>
        <family val="2"/>
      </rPr>
      <t>NB</t>
    </r>
    <r>
      <rPr>
        <sz val="9"/>
        <color indexed="8"/>
        <rFont val="Arial"/>
        <family val="2"/>
      </rPr>
      <t xml:space="preserve"> artigiani e mer-</t>
    </r>
  </si>
  <si>
    <t>canti posson con-</t>
  </si>
  <si>
    <t>Armieri</t>
  </si>
  <si>
    <t>Tutti gli abitanti</t>
  </si>
  <si>
    <t>1/2500 abitanti</t>
  </si>
  <si>
    <t>Carta/Papiro</t>
  </si>
  <si>
    <t>Argento</t>
  </si>
  <si>
    <t>Ferro</t>
  </si>
  <si>
    <t>Oro*</t>
  </si>
  <si>
    <t>Rame</t>
  </si>
  <si>
    <t>Stagno</t>
  </si>
  <si>
    <t>Piombo/Nichel</t>
  </si>
  <si>
    <t>Costo materiali</t>
  </si>
  <si>
    <t>Costo dei mercanti</t>
  </si>
  <si>
    <t>Bolas</t>
  </si>
  <si>
    <t>cuoio + pietra</t>
  </si>
  <si>
    <t>Mazza o Torcia</t>
  </si>
  <si>
    <t>Frombola</t>
  </si>
  <si>
    <t>Ascia o Accetta</t>
  </si>
  <si>
    <t>Ascia da battaglia</t>
  </si>
  <si>
    <t>Alabarda</t>
  </si>
  <si>
    <t>Arco Corto + frecce</t>
  </si>
  <si>
    <t>Arco Lungo + frecce</t>
  </si>
  <si>
    <t>Balestra Legg. + dardi</t>
  </si>
  <si>
    <t>Balestra Pes. + dardi</t>
  </si>
  <si>
    <t>Bardatura cuoio CA7</t>
  </si>
  <si>
    <t>Bardatura scaglie CA6</t>
  </si>
  <si>
    <t>Bardatura maglia CA5</t>
  </si>
  <si>
    <t>Bardatura laminata CA4</t>
  </si>
  <si>
    <t>Bardatura piastre CA3</t>
  </si>
  <si>
    <t>Bardatura battaglia CA2</t>
  </si>
  <si>
    <t>Bardatura torneo CA0</t>
  </si>
  <si>
    <t>Bastone</t>
  </si>
  <si>
    <t>Cerbottana corta</t>
  </si>
  <si>
    <t>Cerbottana lunga</t>
  </si>
  <si>
    <t>Corazza cuoio CA7</t>
  </si>
  <si>
    <t>Corazza scaglie  CA6</t>
  </si>
  <si>
    <t>Corazza maglia  CA5</t>
  </si>
  <si>
    <t>Corazza bande  CA4</t>
  </si>
  <si>
    <t>Corazza piastre CA3</t>
  </si>
  <si>
    <t>Corazza metallo CA0</t>
  </si>
  <si>
    <t>Giavellotto</t>
  </si>
  <si>
    <t>Lancia da fante</t>
  </si>
  <si>
    <t>Lancia da cavaliere</t>
  </si>
  <si>
    <t>Martello da lancio</t>
  </si>
  <si>
    <t>Martello da guerra</t>
  </si>
  <si>
    <t>Picca</t>
  </si>
  <si>
    <t>Pugnale normale</t>
  </si>
  <si>
    <t>Pugnale d'argento</t>
  </si>
  <si>
    <t>Scudo normale</t>
  </si>
  <si>
    <t>Scudo appuntito</t>
  </si>
  <si>
    <t>Scudo laminato</t>
  </si>
  <si>
    <t>Scudo lanceolato</t>
  </si>
  <si>
    <t>Scudo dentato</t>
  </si>
  <si>
    <t>Spada corta</t>
  </si>
  <si>
    <t>Spada normale</t>
  </si>
  <si>
    <t>Spadone a due mani</t>
  </si>
  <si>
    <t>Spada bastarda</t>
  </si>
  <si>
    <t>Tridente</t>
  </si>
  <si>
    <t>Controllo del dominio:</t>
  </si>
  <si>
    <t>5) INFORMAZIONI UFFICIALI:</t>
  </si>
  <si>
    <t>SOLO in guerra</t>
  </si>
  <si>
    <t>Info e valori</t>
  </si>
  <si>
    <t>C.D.B</t>
  </si>
  <si>
    <t>Km./giorno</t>
  </si>
  <si>
    <t>legno (pregiato)</t>
  </si>
  <si>
    <t>Artigianato (pregiato)</t>
  </si>
  <si>
    <t>Commercio (pregiato)</t>
  </si>
  <si>
    <t>Artigianato</t>
  </si>
  <si>
    <r>
      <t>NOTA BENE:</t>
    </r>
    <r>
      <rPr>
        <i/>
        <sz val="8"/>
        <color indexed="8"/>
        <rFont val="Arial"/>
        <family val="2"/>
      </rPr>
      <t xml:space="preserve"> </t>
    </r>
    <r>
      <rPr>
        <b/>
        <i/>
        <u val="single"/>
        <sz val="8"/>
        <color indexed="8"/>
        <rFont val="Arial"/>
        <family val="2"/>
      </rPr>
      <t>1)</t>
    </r>
    <r>
      <rPr>
        <i/>
        <sz val="8"/>
        <color indexed="8"/>
        <rFont val="Arial"/>
        <family val="2"/>
      </rPr>
      <t xml:space="preserve"> i dati vanno scritti nei campi evidenziati in giallo od utilizzando le tendine (i campi in azzurro sono facoltativi); </t>
    </r>
    <r>
      <rPr>
        <b/>
        <i/>
        <u val="single"/>
        <sz val="8"/>
        <color indexed="8"/>
        <rFont val="Arial"/>
        <family val="2"/>
      </rPr>
      <t>2)</t>
    </r>
    <r>
      <rPr>
        <i/>
        <sz val="8"/>
        <color indexed="8"/>
        <rFont val="Arial"/>
        <family val="2"/>
      </rPr>
      <t xml:space="preserve"> la popolazione degli insediamenti va riportata anche nei relativi territori.</t>
    </r>
  </si>
  <si>
    <t>(di cui il</t>
  </si>
  <si>
    <t>Fino a 6 animali</t>
  </si>
  <si>
    <r>
      <rPr>
        <b/>
        <sz val="9"/>
        <color indexed="8"/>
        <rFont val="Arial"/>
        <family val="2"/>
      </rPr>
      <t>NB</t>
    </r>
    <r>
      <rPr>
        <sz val="9"/>
        <color indexed="8"/>
        <rFont val="Arial"/>
        <family val="2"/>
      </rPr>
      <t xml:space="preserve"> riportare sopra i bonus/malus per ogni produzione (+/- 10%) </t>
    </r>
  </si>
  <si>
    <r>
      <t xml:space="preserve">e sommarli. </t>
    </r>
    <r>
      <rPr>
        <u val="single"/>
        <sz val="9"/>
        <color indexed="8"/>
        <rFont val="Arial"/>
        <family val="2"/>
      </rPr>
      <t>LEGENDA</t>
    </r>
    <r>
      <rPr>
        <sz val="9"/>
        <color indexed="8"/>
        <rFont val="Arial"/>
        <family val="2"/>
      </rPr>
      <t>: 1) terra +; 2) terra -; 3) clima +; 4) clima -;</t>
    </r>
  </si>
  <si>
    <t>5) tecnol.+; 6) tecn.-; 7) magia+; 8) magia-; 9) eventi+; 10) eventi-.</t>
  </si>
  <si>
    <t>3) feudi superiori:</t>
  </si>
  <si>
    <t>Specialisti assegnati automaticamente per:</t>
  </si>
  <si>
    <t>Alchimista e (entrate &gt; 250.000/anno) Saggio</t>
  </si>
  <si>
    <r>
      <t xml:space="preserve">4) </t>
    </r>
    <r>
      <rPr>
        <b/>
        <sz val="10"/>
        <color indexed="8"/>
        <rFont val="Arial"/>
        <family val="2"/>
      </rPr>
      <t>nazioni indipendenti</t>
    </r>
    <r>
      <rPr>
        <sz val="10"/>
        <color indexed="8"/>
        <rFont val="Arial"/>
        <family val="2"/>
      </rPr>
      <t>:</t>
    </r>
  </si>
  <si>
    <t>2) feudi minori:</t>
  </si>
  <si>
    <t>Addestr. Animali,  Ingegnere, Maggiord. Capo</t>
  </si>
  <si>
    <t xml:space="preserve"> = verdure</t>
  </si>
  <si>
    <t>69*</t>
  </si>
  <si>
    <t>Precedenti rese "nette" determinate con</t>
  </si>
  <si>
    <t>riferimento al valore in Kcal</t>
  </si>
  <si>
    <t>(Gaz. 11)</t>
  </si>
  <si>
    <t>(sono anche spie)</t>
  </si>
  <si>
    <t>10/1 ministro - diplomatico - avvocato</t>
  </si>
  <si>
    <t>↑ Gabellieri</t>
  </si>
  <si>
    <t>↑ Araldo</t>
  </si>
  <si>
    <t>↑ Ciambellano</t>
  </si>
  <si>
    <t>↑ Diplomatici Classe 1</t>
  </si>
  <si>
    <t>↑ Diplomatici Classe 2</t>
  </si>
  <si>
    <t>↑ Avvocati</t>
  </si>
  <si>
    <t>* ↑ Addetti</t>
  </si>
  <si>
    <t>↑ Cappellani</t>
  </si>
  <si>
    <t xml:space="preserve">↑ Vicecappellani  </t>
  </si>
  <si>
    <t>↑ Castellano</t>
  </si>
  <si>
    <t>* ↑ Artigliere capo</t>
  </si>
  <si>
    <t>* ↑ Com. Guardia</t>
  </si>
  <si>
    <t>* * ↑ Fabbri (stallieri)</t>
  </si>
  <si>
    <t>* ↑ Guardiani</t>
  </si>
  <si>
    <t xml:space="preserve">* ↑ Marescialli  </t>
  </si>
  <si>
    <t>↑ Ingegnere</t>
  </si>
  <si>
    <t xml:space="preserve">↑ Primo magistrato  </t>
  </si>
  <si>
    <t xml:space="preserve">* ↑ Magistrati </t>
  </si>
  <si>
    <t xml:space="preserve">* ↑ Sceriffi  </t>
  </si>
  <si>
    <t xml:space="preserve">Modificatori a prod. cibo: tipo e % </t>
  </si>
  <si>
    <t>Cibo (unità)</t>
  </si>
  <si>
    <t>Tipi di aree urbane</t>
  </si>
  <si>
    <t>1/5000 abitantI. (NB. il governante dispensa la giustizia</t>
  </si>
  <si>
    <t>per i primi 5000 abitanti dedicandoci 1 settimana/mese)</t>
  </si>
  <si>
    <t>Limite mo</t>
  </si>
  <si>
    <r>
      <rPr>
        <b/>
        <u val="single"/>
        <sz val="9"/>
        <rFont val="Arial"/>
        <family val="2"/>
      </rPr>
      <t>N.B.:</t>
    </r>
    <r>
      <rPr>
        <sz val="9"/>
        <rFont val="Arial"/>
        <family val="2"/>
      </rPr>
      <t xml:space="preserve"> metti n. di famiglie e scegli le risorse; </t>
    </r>
    <r>
      <rPr>
        <b/>
        <u val="single"/>
        <sz val="9"/>
        <rFont val="Arial"/>
        <family val="2"/>
      </rPr>
      <t xml:space="preserve">per le coltivazioni, </t>
    </r>
    <r>
      <rPr>
        <sz val="9"/>
        <rFont val="Arial"/>
        <family val="2"/>
      </rPr>
      <t>ogni tipo di territorio dispone di 2 righe.</t>
    </r>
  </si>
  <si>
    <t>Imposte (mo)</t>
  </si>
  <si>
    <t>Tasse (mo)</t>
  </si>
  <si>
    <t>Entrate Ordinarie (mo)</t>
  </si>
  <si>
    <t>4) NOTE SUL DOMINIO:</t>
  </si>
  <si>
    <t>mo/mese</t>
  </si>
  <si>
    <t>mo/abitante</t>
  </si>
  <si>
    <t>SPESE (mo)</t>
  </si>
  <si>
    <t>* * ↑ Armieri (militari)</t>
  </si>
  <si>
    <t>EROI DV   8</t>
  </si>
  <si>
    <t>EROI DV   9</t>
  </si>
  <si>
    <t>città stessa nazione</t>
  </si>
  <si>
    <t>città altra nazione</t>
  </si>
  <si>
    <t>villaggio altra nazione</t>
  </si>
  <si>
    <t>Ascia lunga</t>
  </si>
  <si>
    <t xml:space="preserve">risorse legno, A. e </t>
  </si>
  <si>
    <t>M. indica il valore</t>
  </si>
  <si>
    <t>del materiale con</t>
  </si>
  <si>
    <t>cui si può produrre</t>
  </si>
  <si>
    <t>equipaggiamento.</t>
  </si>
  <si>
    <t>Qualità Armi</t>
  </si>
  <si>
    <t>Qualità Armi ed Equip.</t>
  </si>
  <si>
    <t>***** VALORI DI DEFAULT *****</t>
  </si>
  <si>
    <t>SPESE</t>
  </si>
  <si>
    <t>Nome Feudo</t>
  </si>
  <si>
    <t>Simbolo</t>
  </si>
  <si>
    <t>Altre Note</t>
  </si>
  <si>
    <t>Questo feudo</t>
  </si>
  <si>
    <t>sono NOMADI e non tassabili)</t>
  </si>
  <si>
    <t>valore entro le E.O.</t>
  </si>
  <si>
    <t>segnare 1 bene, di</t>
  </si>
  <si>
    <t>Cotone/Lino (o simili)</t>
  </si>
  <si>
    <t>resa coltivazioni</t>
  </si>
  <si>
    <t>rese nette BASE</t>
  </si>
  <si>
    <t>2) poi metti n. abitanti:</t>
  </si>
  <si>
    <t>34,17 cotte</t>
  </si>
  <si>
    <r>
      <rPr>
        <b/>
        <sz val="9"/>
        <color indexed="8"/>
        <rFont val="Arial"/>
        <family val="2"/>
      </rPr>
      <t>Calcolatore Aree Abitate</t>
    </r>
    <r>
      <rPr>
        <sz val="9"/>
        <color indexed="8"/>
        <rFont val="Arial"/>
        <family val="2"/>
      </rPr>
      <t xml:space="preserve"> 1) scegli:</t>
    </r>
  </si>
  <si>
    <t>Lista 15</t>
  </si>
  <si>
    <t>Frutta 1,70</t>
  </si>
  <si>
    <t>Argilla</t>
  </si>
  <si>
    <t>Verdure 1,75</t>
  </si>
  <si>
    <t>Olivi 1,75</t>
  </si>
  <si>
    <t>Materiali necessari</t>
  </si>
  <si>
    <t>Materiali reperiti in:</t>
  </si>
  <si>
    <t>1 miglio</t>
  </si>
  <si>
    <t>Caccia e Pollame 6,30</t>
  </si>
  <si>
    <t>n. di esa:</t>
  </si>
  <si>
    <t>Pesca</t>
  </si>
  <si>
    <t>Allevamenti</t>
  </si>
  <si>
    <t>Lista 16</t>
  </si>
  <si>
    <t>(in miglia)</t>
  </si>
  <si>
    <t>4 miglia</t>
  </si>
  <si>
    <t>Area acqua 8 mg</t>
  </si>
  <si>
    <t>SALDO FINALE:</t>
  </si>
  <si>
    <t xml:space="preserve">Rematori UC </t>
  </si>
  <si>
    <t>Marinai UC</t>
  </si>
  <si>
    <t>Navigatore UC</t>
  </si>
  <si>
    <t>deserto &lt;13/mgq</t>
  </si>
  <si>
    <t>foresta &lt;13/mgq</t>
  </si>
  <si>
    <t>giungla &lt;13/mgq</t>
  </si>
  <si>
    <t>monti &lt;13/mgq</t>
  </si>
  <si>
    <t>palude &lt;13/mgq</t>
  </si>
  <si>
    <t>t. brulle &lt;13/mgq</t>
  </si>
  <si>
    <t>t. ghiac. &lt;13/mgq</t>
  </si>
  <si>
    <t>tundra &lt;13/mgq</t>
  </si>
  <si>
    <t>Granito/P. da costr.</t>
  </si>
  <si>
    <t>Platino*</t>
  </si>
  <si>
    <t>considera affiancato</t>
  </si>
  <si>
    <t>da 6 assistenti ed 1</t>
  </si>
  <si>
    <t>Avena/Legumi 2,53</t>
  </si>
  <si>
    <t>Avena/Miglio 1,86</t>
  </si>
  <si>
    <t>Avena/Sorgo 2,66</t>
  </si>
  <si>
    <t>Grano/Legumi 3,60</t>
  </si>
  <si>
    <t>Grano/Miglio 2,93</t>
  </si>
  <si>
    <t>Grano/Sorgo 3,73</t>
  </si>
  <si>
    <t>Miglio/Legumi 2,53</t>
  </si>
  <si>
    <t>Miglio/Sorgo 2,66</t>
  </si>
  <si>
    <t>Orzo/Legumi 3,33</t>
  </si>
  <si>
    <t>Orzo/Miglio 2,66</t>
  </si>
  <si>
    <t>Orzo/Sorgo 3,46</t>
  </si>
  <si>
    <t>Segale/Legumi 3,20</t>
  </si>
  <si>
    <t>Segale/Miglio 2,53</t>
  </si>
  <si>
    <t>Segale/Sorgo 3,33</t>
  </si>
  <si>
    <t>Marines</t>
  </si>
  <si>
    <t>20% PS flotta sono galee</t>
  </si>
  <si>
    <t>50% PS flotta sono galee</t>
  </si>
  <si>
    <t>80% PS flotta sono galee</t>
  </si>
  <si>
    <t>20% flotta ha artiglieria</t>
  </si>
  <si>
    <t>50% flotta ha artiglieria</t>
  </si>
  <si>
    <t>20% flotta ha disp. sfond.</t>
  </si>
  <si>
    <t>50% flotta ha disp. sfond.</t>
  </si>
  <si>
    <t>100% PS flotta incantato</t>
  </si>
  <si>
    <t>1% PS flotta incantato</t>
  </si>
  <si>
    <t>20% PS flotta incantato</t>
  </si>
  <si>
    <t>100% PS flotta può volare</t>
  </si>
  <si>
    <t>20% PS flotta può volare</t>
  </si>
  <si>
    <t>1% PS flotta può volare</t>
  </si>
  <si>
    <t>rematori son liberi marinai</t>
  </si>
  <si>
    <t>2) Calcolo del V. B.:</t>
  </si>
  <si>
    <t>Per ogni bonus assegna:</t>
  </si>
  <si>
    <t>20% sono cavalieri</t>
  </si>
  <si>
    <t>50% sono cavalieri</t>
  </si>
  <si>
    <t>20% ha armi lancio</t>
  </si>
  <si>
    <r>
      <t>20%</t>
    </r>
    <r>
      <rPr>
        <sz val="10"/>
        <color indexed="8"/>
        <rFont val="Arial"/>
        <family val="2"/>
      </rPr>
      <t xml:space="preserve"> armi lancio &gt;30 mt</t>
    </r>
  </si>
  <si>
    <t>1% cap. magiche</t>
  </si>
  <si>
    <t>20% cap. magiche</t>
  </si>
  <si>
    <t>100% cap. magiche</t>
  </si>
  <si>
    <t>5% lancia incantesimi</t>
  </si>
  <si>
    <t>30% lancia incantesimi</t>
  </si>
  <si>
    <t>1% può volare</t>
  </si>
  <si>
    <t>20% può volare</t>
  </si>
  <si>
    <t>Vel. media 30 mt/turno</t>
  </si>
  <si>
    <r>
      <t>Per ogni bonus/</t>
    </r>
    <r>
      <rPr>
        <sz val="10"/>
        <color indexed="10"/>
        <rFont val="Arial"/>
        <family val="2"/>
      </rPr>
      <t>malus</t>
    </r>
    <r>
      <rPr>
        <sz val="10"/>
        <color indexed="8"/>
        <rFont val="Arial"/>
        <family val="2"/>
      </rPr>
      <t>:</t>
    </r>
  </si>
  <si>
    <t>Modific. Intelligenza</t>
  </si>
  <si>
    <t>Modific. Carisma</t>
  </si>
  <si>
    <t>n. settimane di addestramento con o senza leader (max 20) e mesi di servizio</t>
  </si>
  <si>
    <t>+ 5 se tutti i soldati hanno 2^ arma di qualità pari alla prima</t>
  </si>
  <si>
    <t>+ 5 se la classe armatura media dell' unità è 5 o meno</t>
  </si>
  <si>
    <t>+ 15 se l'unità è composta solo da elfi o nani</t>
  </si>
  <si>
    <t>1) calcolo del C.D.B.:</t>
  </si>
  <si>
    <t>Valore di Battaglia</t>
  </si>
  <si>
    <t>bonus/malus legato a intelligenza</t>
  </si>
  <si>
    <t>bonus/malus legato a saggezza</t>
  </si>
  <si>
    <t>bonus/malus legato a carisma</t>
  </si>
  <si>
    <t>&lt;-- metti</t>
  </si>
  <si>
    <t>&lt;-- metti n. PNG con 9 o pIù DV</t>
  </si>
  <si>
    <t>numero di DV del Leader</t>
  </si>
  <si>
    <t>Valore di Battaglia:</t>
  </si>
  <si>
    <t>Coeff. Di Battaglia:</t>
  </si>
  <si>
    <t>Classe della truppa:</t>
  </si>
  <si>
    <t>T. soldati (no ufficiali):</t>
  </si>
  <si>
    <t>Punti Scafo (totale):</t>
  </si>
  <si>
    <t>n. Guerrieri 2 DV:</t>
  </si>
  <si>
    <t>n. Guerrieri 3 DV:</t>
  </si>
  <si>
    <t>n. Guerrieri 1 DV:</t>
  </si>
  <si>
    <t>n. di sergenti:</t>
  </si>
  <si>
    <t>n. di tenenti:</t>
  </si>
  <si>
    <t>n. di capitani:</t>
  </si>
  <si>
    <t>ed il loro livello (DV):</t>
  </si>
  <si>
    <t>n. di Vittorie:</t>
  </si>
  <si>
    <t>metti n. di Sconfitte:</t>
  </si>
  <si>
    <t>ARMATA:</t>
  </si>
  <si>
    <t>2) Entr. Ord.</t>
  </si>
  <si>
    <t>N. di mo per: 1) Tasse</t>
  </si>
  <si>
    <t>1/50 militari (fanterie, cavallerie e tutti i graduati)</t>
  </si>
  <si>
    <t>1/50 cavalli (cavalieri e tutti i graduati)</t>
  </si>
  <si>
    <t>disponibili</t>
  </si>
  <si>
    <t>Ch9+ (+100 mo/DV)</t>
  </si>
  <si>
    <r>
      <t xml:space="preserve">(CM, </t>
    </r>
    <r>
      <rPr>
        <b/>
        <u val="single"/>
        <sz val="10"/>
        <color indexed="8"/>
        <rFont val="Arial"/>
        <family val="2"/>
      </rPr>
      <t>RC, DoE</t>
    </r>
    <r>
      <rPr>
        <sz val="10"/>
        <color indexed="8"/>
        <rFont val="Arial"/>
        <family val="2"/>
      </rPr>
      <t>)</t>
    </r>
  </si>
  <si>
    <t>Ch5+ (+100 mo/DV)</t>
  </si>
  <si>
    <r>
      <t xml:space="preserve">(CM, RC, </t>
    </r>
    <r>
      <rPr>
        <b/>
        <sz val="10"/>
        <color indexed="8"/>
        <rFont val="Arial"/>
        <family val="2"/>
      </rPr>
      <t>DoE</t>
    </r>
    <r>
      <rPr>
        <sz val="10"/>
        <color indexed="8"/>
        <rFont val="Arial"/>
        <family val="2"/>
      </rPr>
      <t>)</t>
    </r>
  </si>
  <si>
    <r>
      <rPr>
        <sz val="10"/>
        <rFont val="Arial"/>
        <family val="2"/>
      </rPr>
      <t xml:space="preserve">(CM, RC, </t>
    </r>
    <r>
      <rPr>
        <b/>
        <sz val="10"/>
        <color indexed="8"/>
        <rFont val="Arial"/>
        <family val="2"/>
      </rPr>
      <t>DoE</t>
    </r>
    <r>
      <rPr>
        <sz val="10"/>
        <color indexed="8"/>
        <rFont val="Arial"/>
        <family val="2"/>
      </rPr>
      <t>)</t>
    </r>
  </si>
  <si>
    <t>(=Diplomatici cl. 1)</t>
  </si>
  <si>
    <t>* * ↑ Artiglieri</t>
  </si>
  <si>
    <t>Lista 17</t>
  </si>
  <si>
    <t>Forniture di Cibo</t>
  </si>
  <si>
    <t>Cibo donato dal superiore</t>
  </si>
  <si>
    <t>Unità di cibo a/da vassalli</t>
  </si>
  <si>
    <t>Cibo per famiglie medie</t>
  </si>
  <si>
    <t>Cibo per famiglie ricche</t>
  </si>
  <si>
    <t>Specialisti-militari-armieri</t>
  </si>
  <si>
    <t>Cibo per abitanti residui</t>
  </si>
  <si>
    <t>Cibo per famiglie povere</t>
  </si>
  <si>
    <t>Se manca cibo, seleziona:</t>
  </si>
  <si>
    <t>Cibo acquistato (1u.=2mo)</t>
  </si>
  <si>
    <t>90/0 --- 30</t>
  </si>
  <si>
    <t>Produzione di armi ed armature *:</t>
  </si>
  <si>
    <t>(*) Ogni armiere si</t>
  </si>
  <si>
    <t>fabbro</t>
  </si>
  <si>
    <t>Mt./turno</t>
  </si>
  <si>
    <t>Esperto magia/magist</t>
  </si>
  <si>
    <r>
      <t>(</t>
    </r>
    <r>
      <rPr>
        <b/>
        <u val="single"/>
        <sz val="10"/>
        <rFont val="Arial"/>
        <family val="2"/>
      </rPr>
      <t>Gaz. 11</t>
    </r>
    <r>
      <rPr>
        <sz val="10"/>
        <rFont val="Arial"/>
        <family val="2"/>
      </rPr>
      <t xml:space="preserve">, </t>
    </r>
    <r>
      <rPr>
        <strike/>
        <sz val="10"/>
        <rFont val="Arial"/>
        <family val="2"/>
      </rPr>
      <t>DoE</t>
    </r>
    <r>
      <rPr>
        <sz val="10"/>
        <rFont val="Arial"/>
        <family val="2"/>
      </rPr>
      <t>)</t>
    </r>
  </si>
  <si>
    <t>Attitudine:</t>
  </si>
  <si>
    <t xml:space="preserve">Politica: </t>
  </si>
  <si>
    <t>Leggi:</t>
  </si>
  <si>
    <t xml:space="preserve">Filosofia: </t>
  </si>
  <si>
    <t>Tasso di cambio:</t>
  </si>
  <si>
    <t xml:space="preserve">me: </t>
  </si>
  <si>
    <r>
      <t>Tesoreria</t>
    </r>
    <r>
      <rPr>
        <sz val="10"/>
        <color indexed="8"/>
        <rFont val="Arial"/>
        <family val="2"/>
      </rPr>
      <t xml:space="preserve">: </t>
    </r>
  </si>
  <si>
    <r>
      <t>Truppe</t>
    </r>
    <r>
      <rPr>
        <sz val="10"/>
        <color indexed="8"/>
        <rFont val="Arial"/>
        <family val="2"/>
      </rPr>
      <t xml:space="preserve">: </t>
    </r>
  </si>
  <si>
    <r>
      <rPr>
        <u val="single"/>
        <sz val="10"/>
        <color indexed="8"/>
        <rFont val="Arial"/>
        <family val="2"/>
      </rPr>
      <t>Descrizione</t>
    </r>
    <r>
      <rPr>
        <sz val="10"/>
        <color indexed="8"/>
        <rFont val="Arial"/>
        <family val="2"/>
      </rPr>
      <t>:</t>
    </r>
  </si>
  <si>
    <r>
      <rPr>
        <u val="single"/>
        <sz val="10"/>
        <color indexed="8"/>
        <rFont val="Arial"/>
        <family val="2"/>
      </rPr>
      <t>Flora e Fauna</t>
    </r>
    <r>
      <rPr>
        <sz val="10"/>
        <color indexed="8"/>
        <rFont val="Arial"/>
        <family val="2"/>
      </rPr>
      <t xml:space="preserve">: </t>
    </r>
  </si>
  <si>
    <r>
      <rPr>
        <u val="single"/>
        <sz val="10"/>
        <color indexed="8"/>
        <rFont val="Arial"/>
        <family val="2"/>
      </rPr>
      <t>Popolazione</t>
    </r>
    <r>
      <rPr>
        <sz val="10"/>
        <color indexed="8"/>
        <rFont val="Arial"/>
        <family val="2"/>
      </rPr>
      <t xml:space="preserve">: </t>
    </r>
  </si>
  <si>
    <r>
      <rPr>
        <u val="single"/>
        <sz val="10"/>
        <color indexed="8"/>
        <rFont val="Arial"/>
        <family val="2"/>
      </rPr>
      <t>Industrie</t>
    </r>
    <r>
      <rPr>
        <sz val="10"/>
        <color indexed="8"/>
        <rFont val="Arial"/>
        <family val="2"/>
      </rPr>
      <t xml:space="preserve">: </t>
    </r>
  </si>
  <si>
    <r>
      <rPr>
        <u val="single"/>
        <sz val="10"/>
        <color indexed="8"/>
        <rFont val="Arial"/>
        <family val="2"/>
      </rPr>
      <t>Siti di interesse</t>
    </r>
    <r>
      <rPr>
        <sz val="10"/>
        <color indexed="8"/>
        <rFont val="Arial"/>
        <family val="2"/>
      </rPr>
      <t>:</t>
    </r>
  </si>
  <si>
    <r>
      <rPr>
        <u val="single"/>
        <sz val="10"/>
        <color indexed="8"/>
        <rFont val="Arial"/>
        <family val="2"/>
      </rPr>
      <t>Moduli avventura</t>
    </r>
    <r>
      <rPr>
        <sz val="10"/>
        <color indexed="8"/>
        <rFont val="Arial"/>
        <family val="2"/>
      </rPr>
      <t xml:space="preserve">: </t>
    </r>
  </si>
  <si>
    <r>
      <rPr>
        <u val="single"/>
        <sz val="10"/>
        <color indexed="8"/>
        <rFont val="Arial"/>
        <family val="2"/>
      </rPr>
      <t>Problemi sanitari</t>
    </r>
    <r>
      <rPr>
        <sz val="10"/>
        <color indexed="8"/>
        <rFont val="Arial"/>
        <family val="2"/>
      </rPr>
      <t xml:space="preserve">: </t>
    </r>
  </si>
  <si>
    <t>EROI DV   7</t>
  </si>
  <si>
    <t>G5-9 (+200 mo/DV)</t>
  </si>
  <si>
    <t>Ch9</t>
  </si>
  <si>
    <t>Ch5</t>
  </si>
  <si>
    <t>Gnomi</t>
  </si>
  <si>
    <t>mr: kopec</t>
  </si>
  <si>
    <t>ma: crona</t>
  </si>
  <si>
    <t>mo: reale</t>
  </si>
  <si>
    <t xml:space="preserve">mp: </t>
  </si>
  <si>
    <t>Cibo creato da Vicec. DV10</t>
  </si>
  <si>
    <t>Cibo creato da Vicec. DV11</t>
  </si>
  <si>
    <t>Cibo creato da Vicec. DV12</t>
  </si>
  <si>
    <t>Cibo creato da Vicec. DV13</t>
  </si>
  <si>
    <t>Cibo creato da Vicec. DV14</t>
  </si>
  <si>
    <t>Cibo creato da Vicec. DV15</t>
  </si>
  <si>
    <t>Tot. unità di cibo richieste</t>
  </si>
  <si>
    <t>Tot. Unità di cibo prodotte</t>
  </si>
  <si>
    <t>Capitani DV 11</t>
  </si>
  <si>
    <t>Capitani DV 12</t>
  </si>
  <si>
    <t>Capitani DV 13</t>
  </si>
  <si>
    <t>Capitani DV 14</t>
  </si>
  <si>
    <t>Capitani DV 15</t>
  </si>
  <si>
    <t>Uomo Comune</t>
  </si>
  <si>
    <t>FLOTTA</t>
  </si>
  <si>
    <t>Tenenti DV 4</t>
  </si>
  <si>
    <r>
      <t>vel. media 45 mt/</t>
    </r>
    <r>
      <rPr>
        <b/>
        <u val="single"/>
        <sz val="10"/>
        <color indexed="8"/>
        <rFont val="Arial"/>
        <family val="2"/>
      </rPr>
      <t>round</t>
    </r>
  </si>
  <si>
    <r>
      <t>vel. media 90 mt/</t>
    </r>
    <r>
      <rPr>
        <b/>
        <u val="single"/>
        <sz val="10"/>
        <color indexed="8"/>
        <rFont val="Arial"/>
        <family val="2"/>
      </rPr>
      <t>round</t>
    </r>
  </si>
  <si>
    <r>
      <t>Mt./</t>
    </r>
    <r>
      <rPr>
        <b/>
        <u val="single"/>
        <sz val="10"/>
        <color indexed="62"/>
        <rFont val="Arial"/>
        <family val="2"/>
      </rPr>
      <t>round</t>
    </r>
  </si>
  <si>
    <t xml:space="preserve">       N°      Sett. in add.</t>
  </si>
  <si>
    <t>N° equip.</t>
  </si>
  <si>
    <t>Qualità equip.</t>
  </si>
  <si>
    <t>metti ---&gt;</t>
  </si>
  <si>
    <t>&lt;-- metti n. di truppe/mostri con 2 o più **</t>
  </si>
  <si>
    <t>Culti Caotici</t>
  </si>
  <si>
    <t>Capitani DV 6</t>
  </si>
  <si>
    <t>Bonus qualità armi</t>
  </si>
  <si>
    <t>+ 5 se normali (Eq=1); +10 se buone (Eq=2); + 15 se eccellenti (Eq=3)</t>
  </si>
  <si>
    <t>normale (Eq=1)</t>
  </si>
  <si>
    <t>buona (Eq=2)</t>
  </si>
  <si>
    <t>EROI DV   6</t>
  </si>
  <si>
    <t>Liv. medio ufficiali x3</t>
  </si>
  <si>
    <t>Liv. medio truppa x2</t>
  </si>
  <si>
    <t>eccellente (Eq=3)</t>
  </si>
  <si>
    <t>Tenenti DV 3</t>
  </si>
  <si>
    <t>1) comunità:</t>
  </si>
  <si>
    <t>Baronia (Feudi ↓)</t>
  </si>
  <si>
    <t>Araldo, Cappellano, Ciambellano, Contabile</t>
  </si>
  <si>
    <t>Cappellani (solo con 2.000 o più abitanti)</t>
  </si>
  <si>
    <t>Territorio Libero</t>
  </si>
  <si>
    <t>altri PNG di rilievo</t>
  </si>
  <si>
    <t>2 miglia</t>
  </si>
  <si>
    <t>Area in mq</t>
  </si>
  <si>
    <t>come fanti leggeri 1 DV.</t>
  </si>
  <si>
    <t>NON si posson arruolare</t>
  </si>
  <si>
    <t>Culti Gnomici</t>
  </si>
  <si>
    <t>Culti Nanici</t>
  </si>
  <si>
    <t>Culti Halfling</t>
  </si>
  <si>
    <t>Avena (monoc.) 1,40</t>
  </si>
  <si>
    <t>Grano (monoc.) 3,00</t>
  </si>
  <si>
    <t>Legumi (monoc,) 2,40</t>
  </si>
  <si>
    <t>Miglio (monoc.) 1,40</t>
  </si>
  <si>
    <t>Orzo (monoc.) 2,60</t>
  </si>
  <si>
    <t>Segale (monoc.) 2,40</t>
  </si>
  <si>
    <t>Sorgo (monoc.) 2,60</t>
  </si>
  <si>
    <t>Patate 2,30</t>
  </si>
  <si>
    <t>Umani 1</t>
  </si>
  <si>
    <t>Umani 2</t>
  </si>
  <si>
    <t>Umani 3</t>
  </si>
  <si>
    <t>Elfi</t>
  </si>
  <si>
    <t>Chiesa 1</t>
  </si>
  <si>
    <t>Chiesa 2</t>
  </si>
  <si>
    <t>Chiesa 3</t>
  </si>
  <si>
    <t>a …</t>
  </si>
  <si>
    <t>(chi / classe / DV)</t>
  </si>
  <si>
    <t xml:space="preserve">M9 </t>
  </si>
  <si>
    <t>Chierico-Sciam.</t>
  </si>
  <si>
    <t>Mago-Wokan</t>
  </si>
  <si>
    <t>RC</t>
  </si>
  <si>
    <t>+1 danni</t>
  </si>
  <si>
    <t>Fonte:</t>
  </si>
  <si>
    <t xml:space="preserve">           Bonus/malus per razza</t>
  </si>
  <si>
    <t>+1 txc/danni</t>
  </si>
  <si>
    <t>-1 danni; infravisione</t>
  </si>
  <si>
    <t>-1 txc luce giorno; infravisione</t>
  </si>
  <si>
    <t xml:space="preserve">-1 txc luce giorno; infravisione </t>
  </si>
  <si>
    <t>+2 danni</t>
  </si>
  <si>
    <t>+1 txc archi; +2 CA vs esseri con 2+DV</t>
  </si>
  <si>
    <t>Guerriero + inc.</t>
  </si>
  <si>
    <t>Paladino + inc.</t>
  </si>
  <si>
    <t>Ranger + inc.</t>
  </si>
  <si>
    <t>AC9, DMR2</t>
  </si>
  <si>
    <t>RC, DMR2, X7</t>
  </si>
  <si>
    <t>RC, DMR2</t>
  </si>
  <si>
    <t>AC9</t>
  </si>
  <si>
    <t>B10, AC9</t>
  </si>
  <si>
    <t>-2 danni</t>
  </si>
  <si>
    <t>AC9, DMR2, X8</t>
  </si>
  <si>
    <t>DMR2</t>
  </si>
  <si>
    <t>AC9, DMR2, X1</t>
  </si>
  <si>
    <t>Riso (monoc.) 5,00</t>
  </si>
  <si>
    <t>Mais (monoc.) 5,00</t>
  </si>
  <si>
    <t>1) SOSTENTAMENTO:</t>
  </si>
  <si>
    <t>PayPal.Me</t>
  </si>
  <si>
    <t>Nome UNITA'</t>
  </si>
  <si>
    <t>Nome FLOTTA</t>
  </si>
  <si>
    <t>Battelli Coraz. (Gaz4)</t>
  </si>
  <si>
    <t>Nave a Vela Piccola</t>
  </si>
  <si>
    <t>Nave a Vela Grande</t>
  </si>
  <si>
    <t>Razza (DV base)</t>
  </si>
  <si>
    <t>Bugbear 3+1DV</t>
  </si>
  <si>
    <t>Coboldo 1/2DV</t>
  </si>
  <si>
    <t>Cryon 2+1DV</t>
  </si>
  <si>
    <t>Elfo, comune 1DV</t>
  </si>
  <si>
    <t>Elfo, acquatico 1DV</t>
  </si>
  <si>
    <t>Pixie 1DV</t>
  </si>
  <si>
    <t>Wood Imp 1/2DV</t>
  </si>
  <si>
    <t>Gnoll 2DV</t>
  </si>
  <si>
    <t>Gnomo 1DV</t>
  </si>
  <si>
    <t>Goblin 1-1DV</t>
  </si>
  <si>
    <t>Flitterling 1/2DV</t>
  </si>
  <si>
    <t>Halfling 1DV</t>
  </si>
  <si>
    <t>Hobgoblin 1+1DV</t>
  </si>
  <si>
    <t>Hutaaka 1DV</t>
  </si>
  <si>
    <t>Kara-Kara 1+1DV</t>
  </si>
  <si>
    <t>Lupin 2DV</t>
  </si>
  <si>
    <t>Mezzelfo 1DV</t>
  </si>
  <si>
    <t>Mezzorco 1DV</t>
  </si>
  <si>
    <t>Nano 1DV</t>
  </si>
  <si>
    <t>Neanderthal 2DV</t>
  </si>
  <si>
    <t>Orchetto 1DV</t>
  </si>
  <si>
    <t>Orco 4+1DV</t>
  </si>
  <si>
    <t>Fanaton 1-1DV</t>
  </si>
  <si>
    <t>Rakasta 2+1DV</t>
  </si>
  <si>
    <t>Tritone 1DV</t>
  </si>
  <si>
    <t>Troglodita 2DV</t>
  </si>
  <si>
    <t>Umano 1DV</t>
  </si>
  <si>
    <t>U.Camaleonte 2DV</t>
  </si>
  <si>
    <t>U.Lucertola 2+1DV</t>
  </si>
  <si>
    <t>U.Squaloide 2DV</t>
  </si>
  <si>
    <t>Traldar 1+1DV</t>
  </si>
  <si>
    <t>Elfo, d'ombra 1DV</t>
  </si>
  <si>
    <t>un dominio in cui sono</t>
  </si>
  <si>
    <t>saranno molto contenti!</t>
  </si>
  <si>
    <r>
      <rPr>
        <sz val="6"/>
        <color indexed="8"/>
        <rFont val="Arial"/>
        <family val="2"/>
      </rPr>
      <t xml:space="preserve"> </t>
    </r>
    <r>
      <rPr>
        <sz val="10"/>
        <color indexed="8"/>
        <rFont val="Arial"/>
        <family val="2"/>
      </rPr>
      <t>*COPIA PER USO PERSONALE A CASA*</t>
    </r>
  </si>
  <si>
    <t xml:space="preserve">      GENERATORE DI FEUDI 7.5</t>
  </si>
  <si>
    <t>Lavoro realizzato da Fabrizio Nuzzaci (nel 1999-2007 e poi 2018-2023); se vuoi offrirmi un caffè, clicca su</t>
  </si>
  <si>
    <t>Punti Scafo (Totali):</t>
  </si>
  <si>
    <t>Riepilogo Flotta:</t>
  </si>
  <si>
    <t>Altre Razze</t>
  </si>
  <si>
    <t>All. bovini 7,15</t>
  </si>
  <si>
    <t>All. cammelli* 4,70</t>
  </si>
  <si>
    <t>All. cavalli* 5,10</t>
  </si>
  <si>
    <t>All. ovini 6,05</t>
  </si>
  <si>
    <t>All. suini 7,30</t>
  </si>
  <si>
    <t>All. umanoidi 4,05</t>
  </si>
  <si>
    <t>All. anim. avorio* 3,85</t>
  </si>
  <si>
    <t>All. anim. pelli 3,85</t>
  </si>
  <si>
    <t>All. anim. p. rare* 3,85</t>
  </si>
  <si>
    <t>Tè, Caffè o Tabacco</t>
  </si>
  <si>
    <t>Uve o Luppoli 1,90</t>
  </si>
  <si>
    <t>vulcanico &lt;13/mgq</t>
  </si>
  <si>
    <t>rurale</t>
  </si>
  <si>
    <t>&lt; di 1000 ab.</t>
  </si>
  <si>
    <t>&gt; di 999 ab.</t>
  </si>
  <si>
    <t>+ mercato</t>
  </si>
  <si>
    <t>+ aree militari</t>
  </si>
  <si>
    <t>+ porto</t>
  </si>
  <si>
    <t>+ sede governo</t>
  </si>
  <si>
    <t>Pesca in fiume 4,70</t>
  </si>
  <si>
    <t>Pesca in lago, costa 4,70</t>
  </si>
  <si>
    <t>Pesca in mare, costa 3,85</t>
  </si>
  <si>
    <t>Pesca in mare+perle* 3,85</t>
  </si>
  <si>
    <t>All. bachi da seta*</t>
  </si>
  <si>
    <t>Gnoll (con 2 DV iniziali)</t>
  </si>
  <si>
    <r>
      <rPr>
        <b/>
        <sz val="10"/>
        <color indexed="8"/>
        <rFont val="Arial"/>
        <family val="2"/>
      </rPr>
      <t>NB:</t>
    </r>
    <r>
      <rPr>
        <sz val="10"/>
        <color indexed="8"/>
        <rFont val="Arial"/>
        <family val="2"/>
      </rPr>
      <t xml:space="preserve"> Per razze con 2 o</t>
    </r>
  </si>
  <si>
    <t>più DV iniziali si deve</t>
  </si>
  <si>
    <t>selezionare un tipo di</t>
  </si>
  <si>
    <t>mercenario che abbia</t>
  </si>
  <si>
    <t>un numero di DV almeno</t>
  </si>
  <si>
    <t>uguale ai DV iniziali; es.</t>
  </si>
  <si>
    <r>
      <rPr>
        <b/>
        <sz val="10"/>
        <color indexed="8"/>
        <rFont val="Arial"/>
        <family val="2"/>
      </rPr>
      <t>NB</t>
    </r>
    <r>
      <rPr>
        <sz val="10"/>
        <color indexed="8"/>
        <rFont val="Arial"/>
        <family val="2"/>
      </rPr>
      <t>: gli abitanti legali di</t>
    </r>
  </si>
  <si>
    <t>Marinai /vascello DV 1</t>
  </si>
  <si>
    <t>Marinai /vascello DV 2</t>
  </si>
  <si>
    <t>Marinai /vascello DV 3</t>
  </si>
  <si>
    <t>altopiano/costa</t>
  </si>
  <si>
    <t>altopiano/fiume</t>
  </si>
  <si>
    <t>bosco/costa</t>
  </si>
  <si>
    <t>bosco/fiume</t>
  </si>
  <si>
    <t>collina/costa</t>
  </si>
  <si>
    <t>collina/fiume</t>
  </si>
  <si>
    <t>colli+bosco/costa</t>
  </si>
  <si>
    <t>colli+bosco/fiume</t>
  </si>
  <si>
    <t>deserto/costa</t>
  </si>
  <si>
    <t>deserto/fiume</t>
  </si>
  <si>
    <t>foresta/costa</t>
  </si>
  <si>
    <t>foresta/fiume</t>
  </si>
  <si>
    <t>giungla/costa</t>
  </si>
  <si>
    <t>giungla/fiume</t>
  </si>
  <si>
    <t>monti/costa</t>
  </si>
  <si>
    <t>oasi/costa</t>
  </si>
  <si>
    <t>oasi/fiume</t>
  </si>
  <si>
    <t>palude/costa</t>
  </si>
  <si>
    <t>palude/fiume</t>
  </si>
  <si>
    <t>pianura/costa</t>
  </si>
  <si>
    <t>pianura/fiume</t>
  </si>
  <si>
    <t>steppa/costa</t>
  </si>
  <si>
    <t>steppa/fiume</t>
  </si>
  <si>
    <t>terre brulle/costa</t>
  </si>
  <si>
    <t>terre brulle/fiume</t>
  </si>
  <si>
    <t>terre ghiac./costa</t>
  </si>
  <si>
    <t>terre ghiac./fiume</t>
  </si>
  <si>
    <t>tundra/costa</t>
  </si>
  <si>
    <t>tundra/fiume</t>
  </si>
  <si>
    <t>vulcanico/costa</t>
  </si>
  <si>
    <t>vulcanico/fiume</t>
  </si>
  <si>
    <t>monti/fiume</t>
  </si>
  <si>
    <t>Risorsa (resa)/Attività</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</si>
</sst>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quot;L.&quot;\ * #,##0_-;\-&quot;L.&quot;\ * #,##0_-;_-&quot;L.&quot;\ * &quot;-&quot;_-;_-@_-"/>
    <numFmt numFmtId="173" formatCode="_-&quot;L.&quot;\ * #,##0.00_-;\-&quot;L.&quot;\ * #,##0.00_-;_-&quot;L.&quot;\ * &quot;-&quot;??_-;_-@_-"/>
    <numFmt numFmtId="174" formatCode="0_ ;[Red]\-0\ "/>
    <numFmt numFmtId="175" formatCode="#,##0_ ;[Red]\-#,##0\ "/>
    <numFmt numFmtId="176" formatCode="#,##0.0_ ;[Red]\-#,##0.0\ "/>
    <numFmt numFmtId="177" formatCode="#,##0.00_ ;[Red]\-#,##0.00\ "/>
    <numFmt numFmtId="178" formatCode="0.0%"/>
    <numFmt numFmtId="179" formatCode="#,##0.0"/>
    <numFmt numFmtId="180" formatCode="_-[$€]\ * #,##0.00_-;\-[$€]\ * #,##0.00_-;_-[$€]\ * &quot;-&quot;??_-;_-@_-"/>
    <numFmt numFmtId="181" formatCode="_-* #,##0_-;\-* #,##0_-;_-* &quot;-&quot;??_-;_-@_-"/>
    <numFmt numFmtId="182" formatCode="0.00_ ;[Red]\-0.00\ "/>
    <numFmt numFmtId="183" formatCode="0.0"/>
    <numFmt numFmtId="184" formatCode="#,##0.000_ ;[Red]\-#,##0.000\ "/>
    <numFmt numFmtId="185" formatCode="0.00;[Red]0.00"/>
    <numFmt numFmtId="186" formatCode="&quot;Sì&quot;;&quot;Sì&quot;;&quot;No&quot;"/>
    <numFmt numFmtId="187" formatCode="&quot;Vero&quot;;&quot;Vero&quot;;&quot;Falso&quot;"/>
    <numFmt numFmtId="188" formatCode="&quot;Attivo&quot;;&quot;Attivo&quot;;&quot;Disattivo&quot;"/>
    <numFmt numFmtId="189" formatCode="[$€-2]\ #.##000_);[Red]\([$€-2]\ #.##000\)"/>
    <numFmt numFmtId="190" formatCode="#,##0.000"/>
    <numFmt numFmtId="191" formatCode="#,##0.0000"/>
    <numFmt numFmtId="192" formatCode="_-[$€]\ * #,##0.000_-;\-[$€]\ * #,##0.000_-;_-[$€]\ * &quot;-&quot;??_-;_-@_-"/>
    <numFmt numFmtId="193" formatCode="_-[$€]\ * #,##0.0000_-;\-[$€]\ * #,##0.0000_-;_-[$€]\ * &quot;-&quot;??_-;_-@_-"/>
    <numFmt numFmtId="194" formatCode="0.0_ ;[Red]\-0.0\ "/>
    <numFmt numFmtId="195" formatCode="0.0000"/>
    <numFmt numFmtId="196" formatCode="0.000"/>
    <numFmt numFmtId="197" formatCode="_(* #,##0_);_(* \(#,##0\);_(* &quot;-&quot;??_);_(@_)"/>
    <numFmt numFmtId="198" formatCode="_(* #,##0.00_);_(* \(#,##0.00\);_(* &quot;-&quot;??_);_(@_)"/>
    <numFmt numFmtId="199" formatCode="0.000000"/>
    <numFmt numFmtId="200" formatCode="#,##0.00000_ ;[Red]\-#,##0.00000\ "/>
    <numFmt numFmtId="201" formatCode="#,##0.0000_ ;[Red]\-#,##0.0000\ "/>
    <numFmt numFmtId="202" formatCode="#,##0.000000_ ;[Red]\-#,##0.000000\ "/>
    <numFmt numFmtId="203" formatCode="#,##0.0000000_ ;[Red]\-#,##0.0000000\ "/>
    <numFmt numFmtId="204" formatCode="#,##0.00000000_ ;[Red]\-#,##0.00000000\ "/>
    <numFmt numFmtId="205" formatCode="#,##0.000000000_ ;[Red]\-#,##0.000000000\ "/>
    <numFmt numFmtId="206" formatCode="#,##0.0000000000_ ;[Red]\-#,##0.0000000000\ "/>
    <numFmt numFmtId="207" formatCode="0.000%"/>
    <numFmt numFmtId="208" formatCode="0.0000%"/>
    <numFmt numFmtId="209" formatCode="0.00000%"/>
    <numFmt numFmtId="210" formatCode="0.000000%"/>
  </numFmts>
  <fonts count="74">
    <font>
      <sz val="10"/>
      <name val="Arial"/>
      <family val="0"/>
    </font>
    <font>
      <b/>
      <sz val="10"/>
      <name val="Arial"/>
      <family val="2"/>
    </font>
    <font>
      <u val="single"/>
      <sz val="8"/>
      <color indexed="12"/>
      <name val="Arial"/>
      <family val="2"/>
    </font>
    <font>
      <u val="single"/>
      <sz val="8"/>
      <color indexed="36"/>
      <name val="Arial"/>
      <family val="2"/>
    </font>
    <font>
      <sz val="8"/>
      <name val="Arial"/>
      <family val="2"/>
    </font>
    <font>
      <sz val="9"/>
      <name val="Tahoma"/>
      <family val="2"/>
    </font>
    <font>
      <b/>
      <sz val="9"/>
      <name val="Tahoma"/>
      <family val="2"/>
    </font>
    <font>
      <sz val="10"/>
      <color indexed="12"/>
      <name val="Arial"/>
      <family val="2"/>
    </font>
    <font>
      <sz val="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8"/>
      <color indexed="20"/>
      <name val="Arial"/>
      <family val="2"/>
    </font>
    <font>
      <sz val="10"/>
      <color indexed="8"/>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0"/>
      <color indexed="8"/>
      <name val="Arial"/>
      <family val="2"/>
    </font>
    <font>
      <i/>
      <sz val="10"/>
      <color indexed="8"/>
      <name val="Arial"/>
      <family val="2"/>
    </font>
    <font>
      <sz val="9"/>
      <color indexed="8"/>
      <name val="Arial"/>
      <family val="2"/>
    </font>
    <font>
      <i/>
      <sz val="8"/>
      <color indexed="8"/>
      <name val="Arial"/>
      <family val="2"/>
    </font>
    <font>
      <b/>
      <i/>
      <sz val="8"/>
      <color indexed="8"/>
      <name val="Arial"/>
      <family val="2"/>
    </font>
    <font>
      <b/>
      <sz val="9"/>
      <color indexed="8"/>
      <name val="Arial"/>
      <family val="2"/>
    </font>
    <font>
      <u val="single"/>
      <sz val="10"/>
      <color indexed="8"/>
      <name val="Arial"/>
      <family val="2"/>
    </font>
    <font>
      <sz val="8"/>
      <color indexed="8"/>
      <name val="Arial"/>
      <family val="2"/>
    </font>
    <font>
      <sz val="12"/>
      <color indexed="8"/>
      <name val="Marriage"/>
      <family val="0"/>
    </font>
    <font>
      <b/>
      <sz val="8"/>
      <color indexed="8"/>
      <name val="Tahoma"/>
      <family val="2"/>
    </font>
    <font>
      <sz val="8"/>
      <color indexed="8"/>
      <name val="Tahoma"/>
      <family val="2"/>
    </font>
    <font>
      <sz val="10"/>
      <color indexed="8"/>
      <name val="Sans-PS"/>
      <family val="0"/>
    </font>
    <font>
      <b/>
      <sz val="9"/>
      <color indexed="8"/>
      <name val="Tahoma"/>
      <family val="2"/>
    </font>
    <font>
      <sz val="9"/>
      <color indexed="8"/>
      <name val="Tahoma"/>
      <family val="2"/>
    </font>
    <font>
      <b/>
      <u val="single"/>
      <sz val="10"/>
      <color indexed="8"/>
      <name val="Arial"/>
      <family val="2"/>
    </font>
    <font>
      <b/>
      <sz val="10"/>
      <color indexed="10"/>
      <name val="Arial"/>
      <family val="2"/>
    </font>
    <font>
      <b/>
      <u val="single"/>
      <sz val="10"/>
      <name val="Arial"/>
      <family val="2"/>
    </font>
    <font>
      <b/>
      <i/>
      <u val="single"/>
      <sz val="8"/>
      <color indexed="8"/>
      <name val="Arial"/>
      <family val="2"/>
    </font>
    <font>
      <u val="single"/>
      <sz val="9"/>
      <name val="Arial"/>
      <family val="2"/>
    </font>
    <font>
      <b/>
      <u val="single"/>
      <sz val="9"/>
      <name val="Arial"/>
      <family val="2"/>
    </font>
    <font>
      <b/>
      <sz val="10"/>
      <color indexed="8"/>
      <name val="Tahoma"/>
      <family val="2"/>
    </font>
    <font>
      <sz val="10"/>
      <color indexed="8"/>
      <name val="Tahoma"/>
      <family val="2"/>
    </font>
    <font>
      <u val="single"/>
      <sz val="10"/>
      <color indexed="8"/>
      <name val="Tahoma"/>
      <family val="2"/>
    </font>
    <font>
      <u val="single"/>
      <sz val="9"/>
      <color indexed="8"/>
      <name val="Arial"/>
      <family val="2"/>
    </font>
    <font>
      <sz val="10"/>
      <color indexed="10"/>
      <name val="Arial"/>
      <family val="2"/>
    </font>
    <font>
      <b/>
      <u val="single"/>
      <sz val="9"/>
      <color indexed="8"/>
      <name val="Arial"/>
      <family val="2"/>
    </font>
    <font>
      <sz val="8.8"/>
      <color indexed="8"/>
      <name val="Arial"/>
      <family val="2"/>
    </font>
    <font>
      <sz val="10"/>
      <color indexed="9"/>
      <name val="Arial"/>
      <family val="2"/>
    </font>
    <font>
      <b/>
      <sz val="10"/>
      <color indexed="9"/>
      <name val="Arial"/>
      <family val="2"/>
    </font>
    <font>
      <strike/>
      <sz val="10"/>
      <name val="Arial"/>
      <family val="2"/>
    </font>
    <font>
      <b/>
      <u val="single"/>
      <sz val="10"/>
      <color indexed="62"/>
      <name val="Arial"/>
      <family val="2"/>
    </font>
    <font>
      <b/>
      <u val="single"/>
      <sz val="9"/>
      <name val="Tahoma"/>
      <family val="2"/>
    </font>
    <font>
      <b/>
      <u val="single"/>
      <sz val="10"/>
      <color indexed="30"/>
      <name val="Arial"/>
      <family val="2"/>
    </font>
    <font>
      <u val="single"/>
      <sz val="10"/>
      <name val="Arial"/>
      <family val="2"/>
    </font>
    <font>
      <sz val="12"/>
      <color indexed="8"/>
      <name val="Myztara"/>
      <family val="0"/>
    </font>
    <font>
      <sz val="6"/>
      <color indexed="8"/>
      <name val="Arial"/>
      <family val="2"/>
    </font>
    <font>
      <i/>
      <sz val="10"/>
      <name val="Arial"/>
      <family val="2"/>
    </font>
    <font>
      <sz val="9"/>
      <color indexed="9"/>
      <name val="Arial"/>
      <family val="2"/>
    </font>
    <font>
      <b/>
      <sz val="10"/>
      <color indexed="30"/>
      <name val="Arial"/>
      <family val="2"/>
    </font>
    <font>
      <sz val="8"/>
      <name val="Tahoma"/>
      <family val="2"/>
    </font>
    <font>
      <sz val="10"/>
      <color theme="0"/>
      <name val="Arial"/>
      <family val="2"/>
    </font>
    <font>
      <b/>
      <sz val="10"/>
      <color theme="0"/>
      <name val="Arial"/>
      <family val="2"/>
    </font>
    <font>
      <sz val="9"/>
      <color theme="0"/>
      <name val="Arial"/>
      <family val="2"/>
    </font>
    <font>
      <b/>
      <sz val="10"/>
      <color rgb="FF0070C0"/>
      <name val="Arial"/>
      <family val="2"/>
    </font>
    <font>
      <b/>
      <u val="single"/>
      <sz val="10"/>
      <color rgb="FF0070C0"/>
      <name val="Arial"/>
      <family val="2"/>
    </font>
    <font>
      <b/>
      <sz val="8"/>
      <name val="Arial"/>
      <family val="2"/>
    </font>
  </fonts>
  <fills count="2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65"/>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1"/>
        <bgColor indexed="64"/>
      </patternFill>
    </fill>
    <fill>
      <patternFill patternType="solid">
        <fgColor indexed="41"/>
        <bgColor indexed="64"/>
      </patternFill>
    </fill>
    <fill>
      <patternFill patternType="solid">
        <fgColor indexed="12"/>
        <bgColor indexed="64"/>
      </patternFill>
    </fill>
    <fill>
      <patternFill patternType="solid">
        <fgColor indexed="9"/>
        <bgColor indexed="64"/>
      </patternFill>
    </fill>
    <fill>
      <patternFill patternType="solid">
        <fgColor indexed="25"/>
        <bgColor indexed="64"/>
      </patternFill>
    </fill>
  </fills>
  <borders count="9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color indexed="63"/>
      </left>
      <right>
        <color indexed="63"/>
      </right>
      <top>
        <color indexed="63"/>
      </top>
      <bottom style="medium"/>
    </border>
    <border>
      <left style="thin"/>
      <right style="medium"/>
      <top>
        <color indexed="63"/>
      </top>
      <bottom>
        <color indexed="63"/>
      </bottom>
    </border>
    <border>
      <left>
        <color indexed="63"/>
      </left>
      <right>
        <color indexed="63"/>
      </right>
      <top style="medium"/>
      <bottom>
        <color indexed="63"/>
      </bottom>
    </border>
    <border>
      <left style="thin"/>
      <right style="medium"/>
      <top>
        <color indexed="63"/>
      </top>
      <bottom style="thin"/>
    </border>
    <border>
      <left style="medium"/>
      <right>
        <color indexed="63"/>
      </right>
      <top style="thin"/>
      <bottom style="thin"/>
    </border>
    <border>
      <left style="thin"/>
      <right>
        <color indexed="63"/>
      </right>
      <top>
        <color indexed="63"/>
      </top>
      <bottom style="dashDotDot"/>
    </border>
    <border>
      <left>
        <color indexed="63"/>
      </left>
      <right style="thin"/>
      <top>
        <color indexed="63"/>
      </top>
      <bottom style="dashDotDot"/>
    </border>
    <border>
      <left>
        <color indexed="63"/>
      </left>
      <right>
        <color indexed="63"/>
      </right>
      <top>
        <color indexed="63"/>
      </top>
      <bottom style="dashDotDot"/>
    </border>
    <border>
      <left style="thin"/>
      <right>
        <color indexed="63"/>
      </right>
      <top style="dashDotDot"/>
      <bottom>
        <color indexed="63"/>
      </bottom>
    </border>
    <border>
      <left>
        <color indexed="63"/>
      </left>
      <right style="thin"/>
      <top style="dashDotDot"/>
      <bottom>
        <color indexed="63"/>
      </bottom>
    </border>
    <border>
      <left>
        <color indexed="63"/>
      </left>
      <right>
        <color indexed="63"/>
      </right>
      <top style="dashDotDot"/>
      <bottom>
        <color indexed="63"/>
      </botto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style="dashDot"/>
    </border>
    <border>
      <left>
        <color indexed="63"/>
      </left>
      <right>
        <color indexed="63"/>
      </right>
      <top>
        <color indexed="63"/>
      </top>
      <bottom style="dashDot"/>
    </border>
    <border>
      <left style="thin"/>
      <right>
        <color indexed="63"/>
      </right>
      <top style="dashDot"/>
      <bottom>
        <color indexed="63"/>
      </bottom>
    </border>
    <border>
      <left>
        <color indexed="63"/>
      </left>
      <right>
        <color indexed="63"/>
      </right>
      <top style="dashDot"/>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style="thin"/>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hair"/>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medium"/>
      <top style="hair"/>
      <bottom style="medium"/>
    </border>
    <border>
      <left style="medium"/>
      <right>
        <color indexed="63"/>
      </right>
      <top style="medium"/>
      <bottom style="medium"/>
    </border>
    <border>
      <left>
        <color indexed="63"/>
      </left>
      <right style="medium"/>
      <top>
        <color indexed="63"/>
      </top>
      <bottom style="hair"/>
    </border>
    <border>
      <left>
        <color indexed="63"/>
      </left>
      <right style="thin"/>
      <top style="hair"/>
      <bottom>
        <color indexed="63"/>
      </bottom>
    </border>
    <border>
      <left>
        <color indexed="63"/>
      </left>
      <right style="thin"/>
      <top>
        <color indexed="63"/>
      </top>
      <bottom style="dashDot"/>
    </border>
    <border>
      <left>
        <color indexed="63"/>
      </left>
      <right style="thin"/>
      <top style="dashDot"/>
      <bottom>
        <color indexed="63"/>
      </bottom>
    </border>
    <border>
      <left style="dashDot"/>
      <right style="dashDot"/>
      <top style="dashDot"/>
      <bottom>
        <color indexed="63"/>
      </bottom>
    </border>
    <border>
      <left style="medium"/>
      <right style="medium"/>
      <top style="medium"/>
      <bottom style="medium"/>
    </border>
    <border>
      <left style="thin"/>
      <right>
        <color indexed="63"/>
      </right>
      <top style="thin"/>
      <bottom style="medium"/>
    </border>
    <border>
      <left style="medium"/>
      <right>
        <color indexed="63"/>
      </right>
      <top style="medium"/>
      <bottom>
        <color indexed="63"/>
      </bottom>
    </border>
    <border>
      <left style="medium"/>
      <right>
        <color indexed="63"/>
      </right>
      <top>
        <color indexed="63"/>
      </top>
      <bottom style="hair"/>
    </border>
    <border>
      <left style="medium"/>
      <right>
        <color indexed="63"/>
      </right>
      <top style="hair"/>
      <bottom style="medium"/>
    </border>
    <border>
      <left>
        <color indexed="63"/>
      </left>
      <right>
        <color indexed="63"/>
      </right>
      <top style="hair"/>
      <bottom style="mediu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hair"/>
    </border>
    <border>
      <left style="thin"/>
      <right>
        <color indexed="63"/>
      </right>
      <top style="hair"/>
      <bottom>
        <color indexed="63"/>
      </bottom>
    </border>
    <border>
      <left>
        <color indexed="63"/>
      </left>
      <right style="hair"/>
      <top>
        <color indexed="63"/>
      </top>
      <bottom style="hair"/>
    </border>
    <border>
      <left>
        <color indexed="63"/>
      </left>
      <right>
        <color indexed="63"/>
      </right>
      <top style="hair"/>
      <bottom style="hair"/>
    </border>
    <border>
      <left>
        <color indexed="63"/>
      </left>
      <right style="hair"/>
      <top style="hair"/>
      <bottom style="hair"/>
    </border>
    <border>
      <left style="medium"/>
      <right>
        <color indexed="63"/>
      </right>
      <top style="medium"/>
      <bottom style="hair"/>
    </border>
    <border>
      <left>
        <color indexed="63"/>
      </left>
      <right style="medium"/>
      <top style="medium"/>
      <bottom style="hair"/>
    </border>
    <border>
      <left style="hair"/>
      <right style="thin"/>
      <top style="hair"/>
      <bottom>
        <color indexed="63"/>
      </bottom>
    </border>
    <border>
      <left style="thin"/>
      <right style="thin"/>
      <top>
        <color indexed="63"/>
      </top>
      <bottom style="medium"/>
    </border>
    <border>
      <left style="thin"/>
      <right style="medium"/>
      <top style="medium"/>
      <bottom>
        <color indexed="63"/>
      </bottom>
    </border>
    <border>
      <left style="thin"/>
      <right>
        <color indexed="63"/>
      </right>
      <top>
        <color indexed="63"/>
      </top>
      <bottom style="medium"/>
    </border>
    <border>
      <left style="thin"/>
      <right>
        <color indexed="63"/>
      </right>
      <top style="medium"/>
      <bottom style="medium"/>
    </border>
    <border>
      <left style="thin"/>
      <right>
        <color indexed="63"/>
      </right>
      <top style="medium"/>
      <bottom style="thin"/>
    </border>
    <border>
      <left>
        <color indexed="63"/>
      </left>
      <right style="thin"/>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lignment/>
      <protection/>
    </xf>
    <xf numFmtId="0" fontId="9" fillId="3" borderId="0">
      <alignment/>
      <protection/>
    </xf>
    <xf numFmtId="0" fontId="9" fillId="4" borderId="0">
      <alignment/>
      <protection/>
    </xf>
    <xf numFmtId="0" fontId="9" fillId="5" borderId="0">
      <alignment/>
      <protection/>
    </xf>
    <xf numFmtId="0" fontId="9" fillId="6" borderId="0">
      <alignment/>
      <protection/>
    </xf>
    <xf numFmtId="0" fontId="9" fillId="7" borderId="0">
      <alignment/>
      <protection/>
    </xf>
    <xf numFmtId="0" fontId="9" fillId="8" borderId="0">
      <alignment/>
      <protection/>
    </xf>
    <xf numFmtId="0" fontId="9" fillId="3" borderId="0">
      <alignment/>
      <protection/>
    </xf>
    <xf numFmtId="0" fontId="9" fillId="9" borderId="0">
      <alignment/>
      <protection/>
    </xf>
    <xf numFmtId="0" fontId="9" fillId="10" borderId="0">
      <alignment/>
      <protection/>
    </xf>
    <xf numFmtId="0" fontId="9" fillId="8" borderId="0">
      <alignment/>
      <protection/>
    </xf>
    <xf numFmtId="0" fontId="9" fillId="10" borderId="0">
      <alignment/>
      <protection/>
    </xf>
    <xf numFmtId="0" fontId="10" fillId="8" borderId="0">
      <alignment/>
      <protection/>
    </xf>
    <xf numFmtId="0" fontId="10" fillId="3" borderId="0">
      <alignment/>
      <protection/>
    </xf>
    <xf numFmtId="0" fontId="10" fillId="9" borderId="0">
      <alignment/>
      <protection/>
    </xf>
    <xf numFmtId="0" fontId="10" fillId="10" borderId="0">
      <alignment/>
      <protection/>
    </xf>
    <xf numFmtId="0" fontId="10" fillId="11" borderId="0">
      <alignment/>
      <protection/>
    </xf>
    <xf numFmtId="0" fontId="10" fillId="12" borderId="0">
      <alignment/>
      <protection/>
    </xf>
    <xf numFmtId="0" fontId="11" fillId="9" borderId="1">
      <alignment/>
      <protection/>
    </xf>
    <xf numFmtId="0" fontId="12" fillId="0" borderId="2">
      <alignment/>
      <protection/>
    </xf>
    <xf numFmtId="0" fontId="13" fillId="13" borderId="3">
      <alignment/>
      <protection/>
    </xf>
    <xf numFmtId="0" fontId="14" fillId="0" borderId="0">
      <alignment vertical="top"/>
      <protection locked="0"/>
    </xf>
    <xf numFmtId="0" fontId="2" fillId="0" borderId="0" applyNumberFormat="0" applyFill="0" applyBorder="0" applyAlignment="0" applyProtection="0"/>
    <xf numFmtId="0" fontId="3" fillId="0" borderId="0" applyNumberFormat="0" applyFill="0" applyBorder="0" applyAlignment="0" applyProtection="0"/>
    <xf numFmtId="0" fontId="10" fillId="11" borderId="0">
      <alignment/>
      <protection/>
    </xf>
    <xf numFmtId="0" fontId="10" fillId="14" borderId="0">
      <alignment/>
      <protection/>
    </xf>
    <xf numFmtId="0" fontId="10" fillId="13" borderId="0">
      <alignment/>
      <protection/>
    </xf>
    <xf numFmtId="0" fontId="10" fillId="15" borderId="0">
      <alignment/>
      <protection/>
    </xf>
    <xf numFmtId="0" fontId="10" fillId="16" borderId="0">
      <alignment/>
      <protection/>
    </xf>
    <xf numFmtId="0" fontId="10" fillId="12" borderId="0">
      <alignment/>
      <protection/>
    </xf>
    <xf numFmtId="180" fontId="0" fillId="0" borderId="0" applyFont="0" applyFill="0" applyBorder="0" applyAlignment="0" applyProtection="0"/>
    <xf numFmtId="0" fontId="16" fillId="3" borderId="1">
      <alignment/>
      <protection/>
    </xf>
    <xf numFmtId="171" fontId="0" fillId="0" borderId="0" applyFont="0" applyFill="0" applyBorder="0" applyAlignment="0" applyProtection="0"/>
    <xf numFmtId="169" fontId="0" fillId="0" borderId="0" applyFont="0" applyFill="0" applyBorder="0" applyAlignment="0" applyProtection="0"/>
    <xf numFmtId="169" fontId="15" fillId="0" borderId="0">
      <alignment/>
      <protection/>
    </xf>
    <xf numFmtId="171" fontId="15" fillId="0" borderId="0">
      <alignment/>
      <protection/>
    </xf>
    <xf numFmtId="0" fontId="17" fillId="10" borderId="0">
      <alignment/>
      <protection/>
    </xf>
    <xf numFmtId="0" fontId="15" fillId="0" borderId="0">
      <alignment/>
      <protection/>
    </xf>
    <xf numFmtId="0" fontId="15" fillId="5" borderId="4">
      <alignment/>
      <protection/>
    </xf>
    <xf numFmtId="0" fontId="18" fillId="9" borderId="5">
      <alignment/>
      <protection/>
    </xf>
    <xf numFmtId="9" fontId="0" fillId="0" borderId="0" applyFont="0" applyFill="0" applyBorder="0" applyAlignment="0" applyProtection="0"/>
    <xf numFmtId="9" fontId="15" fillId="0" borderId="0">
      <alignment/>
      <protection/>
    </xf>
    <xf numFmtId="0" fontId="19" fillId="0" borderId="0">
      <alignment/>
      <protection/>
    </xf>
    <xf numFmtId="0" fontId="20" fillId="0" borderId="0">
      <alignment/>
      <protection/>
    </xf>
    <xf numFmtId="0" fontId="21" fillId="0" borderId="0">
      <alignment/>
      <protection/>
    </xf>
    <xf numFmtId="0" fontId="22" fillId="0" borderId="6">
      <alignment/>
      <protection/>
    </xf>
    <xf numFmtId="0" fontId="23" fillId="0" borderId="7">
      <alignment/>
      <protection/>
    </xf>
    <xf numFmtId="0" fontId="24" fillId="0" borderId="8">
      <alignment/>
      <protection/>
    </xf>
    <xf numFmtId="0" fontId="24" fillId="0" borderId="0">
      <alignment/>
      <protection/>
    </xf>
    <xf numFmtId="0" fontId="25" fillId="0" borderId="9">
      <alignment/>
      <protection/>
    </xf>
    <xf numFmtId="0" fontId="26" fillId="17" borderId="0">
      <alignment/>
      <protection/>
    </xf>
    <xf numFmtId="0" fontId="27" fillId="7" borderId="0">
      <alignment/>
      <protection/>
    </xf>
    <xf numFmtId="173" fontId="0" fillId="0" borderId="0" applyFont="0" applyFill="0" applyBorder="0" applyAlignment="0" applyProtection="0"/>
    <xf numFmtId="172" fontId="0" fillId="0" borderId="0" applyFont="0" applyFill="0" applyBorder="0" applyAlignment="0" applyProtection="0"/>
  </cellStyleXfs>
  <cellXfs count="931">
    <xf numFmtId="0" fontId="0" fillId="0" borderId="0" xfId="0" applyAlignment="1">
      <alignment/>
    </xf>
    <xf numFmtId="0" fontId="28" fillId="0" borderId="10" xfId="52" applyFont="1" applyBorder="1">
      <alignment/>
      <protection/>
    </xf>
    <xf numFmtId="0" fontId="15" fillId="0" borderId="11" xfId="52" applyBorder="1">
      <alignment/>
      <protection/>
    </xf>
    <xf numFmtId="0" fontId="15" fillId="0" borderId="0" xfId="52">
      <alignment/>
      <protection/>
    </xf>
    <xf numFmtId="0" fontId="15" fillId="0" borderId="10" xfId="52" applyBorder="1">
      <alignment/>
      <protection/>
    </xf>
    <xf numFmtId="0" fontId="15" fillId="0" borderId="0" xfId="52" applyBorder="1">
      <alignment/>
      <protection/>
    </xf>
    <xf numFmtId="0" fontId="15" fillId="0" borderId="12" xfId="52" applyBorder="1">
      <alignment/>
      <protection/>
    </xf>
    <xf numFmtId="0" fontId="28" fillId="0" borderId="13" xfId="52" applyFont="1" applyBorder="1" applyAlignment="1">
      <alignment horizontal="center"/>
      <protection/>
    </xf>
    <xf numFmtId="0" fontId="15" fillId="0" borderId="10" xfId="52" applyBorder="1" applyAlignment="1">
      <alignment horizontal="center"/>
      <protection/>
    </xf>
    <xf numFmtId="0" fontId="15" fillId="0" borderId="0" xfId="52" applyAlignment="1">
      <alignment horizontal="left"/>
      <protection/>
    </xf>
    <xf numFmtId="0" fontId="15" fillId="0" borderId="0" xfId="52" applyAlignment="1">
      <alignment horizontal="center"/>
      <protection/>
    </xf>
    <xf numFmtId="0" fontId="15" fillId="0" borderId="14" xfId="52" applyBorder="1" applyAlignment="1">
      <alignment horizontal="center"/>
      <protection/>
    </xf>
    <xf numFmtId="175" fontId="15" fillId="0" borderId="15" xfId="52" applyNumberFormat="1" applyBorder="1" applyAlignment="1">
      <alignment horizontal="center"/>
      <protection/>
    </xf>
    <xf numFmtId="0" fontId="15" fillId="0" borderId="12" xfId="52" applyBorder="1" applyAlignment="1">
      <alignment horizontal="center"/>
      <protection/>
    </xf>
    <xf numFmtId="0" fontId="15" fillId="0" borderId="11" xfId="52" applyBorder="1" applyAlignment="1">
      <alignment horizontal="center"/>
      <protection/>
    </xf>
    <xf numFmtId="0" fontId="15" fillId="0" borderId="16" xfId="52" applyBorder="1" applyAlignment="1">
      <alignment horizontal="left"/>
      <protection/>
    </xf>
    <xf numFmtId="0" fontId="15" fillId="0" borderId="15" xfId="52" applyBorder="1" quotePrefix="1">
      <alignment/>
      <protection/>
    </xf>
    <xf numFmtId="0" fontId="15" fillId="0" borderId="0" xfId="52" quotePrefix="1">
      <alignment/>
      <protection/>
    </xf>
    <xf numFmtId="0" fontId="15" fillId="0" borderId="14" xfId="52" applyBorder="1">
      <alignment/>
      <protection/>
    </xf>
    <xf numFmtId="0" fontId="15" fillId="0" borderId="17" xfId="52" applyBorder="1">
      <alignment/>
      <protection/>
    </xf>
    <xf numFmtId="0" fontId="28" fillId="0" borderId="11" xfId="52" applyFont="1" applyBorder="1">
      <alignment/>
      <protection/>
    </xf>
    <xf numFmtId="0" fontId="28" fillId="0" borderId="10" xfId="52" applyFont="1" applyBorder="1" quotePrefix="1">
      <alignment/>
      <protection/>
    </xf>
    <xf numFmtId="0" fontId="28" fillId="0" borderId="16" xfId="52" applyFont="1" applyBorder="1" applyAlignment="1">
      <alignment horizontal="center"/>
      <protection/>
    </xf>
    <xf numFmtId="0" fontId="15" fillId="0" borderId="16" xfId="52" applyBorder="1">
      <alignment/>
      <protection/>
    </xf>
    <xf numFmtId="0" fontId="28" fillId="0" borderId="0" xfId="52" applyFont="1" quotePrefix="1">
      <alignment/>
      <protection/>
    </xf>
    <xf numFmtId="0" fontId="28" fillId="0" borderId="0" xfId="52" applyFont="1">
      <alignment/>
      <protection/>
    </xf>
    <xf numFmtId="0" fontId="15" fillId="0" borderId="18" xfId="52" applyBorder="1">
      <alignment/>
      <protection/>
    </xf>
    <xf numFmtId="0" fontId="15" fillId="0" borderId="12" xfId="52" applyFont="1" applyBorder="1">
      <alignment/>
      <protection/>
    </xf>
    <xf numFmtId="0" fontId="28" fillId="0" borderId="19" xfId="52" applyFont="1" applyBorder="1">
      <alignment/>
      <protection/>
    </xf>
    <xf numFmtId="0" fontId="15" fillId="0" borderId="13" xfId="52" applyBorder="1">
      <alignment/>
      <protection/>
    </xf>
    <xf numFmtId="0" fontId="28" fillId="0" borderId="0" xfId="52" applyFont="1" applyAlignment="1">
      <alignment horizontal="center"/>
      <protection/>
    </xf>
    <xf numFmtId="0" fontId="15" fillId="0" borderId="16" xfId="52" applyBorder="1" applyAlignment="1">
      <alignment horizontal="center"/>
      <protection/>
    </xf>
    <xf numFmtId="0" fontId="15" fillId="0" borderId="20" xfId="52" applyBorder="1">
      <alignment/>
      <protection/>
    </xf>
    <xf numFmtId="0" fontId="15" fillId="0" borderId="15" xfId="52" applyBorder="1" applyAlignment="1">
      <alignment horizontal="center"/>
      <protection/>
    </xf>
    <xf numFmtId="0" fontId="15" fillId="0" borderId="15" xfId="52" applyBorder="1">
      <alignment/>
      <protection/>
    </xf>
    <xf numFmtId="0" fontId="15" fillId="0" borderId="18" xfId="52" applyBorder="1" applyAlignment="1">
      <alignment horizontal="center"/>
      <protection/>
    </xf>
    <xf numFmtId="0" fontId="15" fillId="0" borderId="16" xfId="52" applyBorder="1" applyAlignment="1">
      <alignment horizontal="right"/>
      <protection/>
    </xf>
    <xf numFmtId="0" fontId="28" fillId="0" borderId="13" xfId="52" applyFont="1" applyBorder="1">
      <alignment/>
      <protection/>
    </xf>
    <xf numFmtId="0" fontId="15" fillId="9" borderId="19" xfId="52" applyFill="1" applyBorder="1">
      <alignment/>
      <protection/>
    </xf>
    <xf numFmtId="0" fontId="15" fillId="0" borderId="13" xfId="52" applyBorder="1" applyAlignment="1">
      <alignment horizontal="center"/>
      <protection/>
    </xf>
    <xf numFmtId="0" fontId="15" fillId="0" borderId="19" xfId="52" applyBorder="1">
      <alignment/>
      <protection/>
    </xf>
    <xf numFmtId="0" fontId="15" fillId="0" borderId="0" xfId="52" applyBorder="1" applyAlignment="1">
      <alignment horizontal="left"/>
      <protection/>
    </xf>
    <xf numFmtId="2" fontId="15" fillId="0" borderId="0" xfId="52" applyNumberFormat="1" applyBorder="1">
      <alignment/>
      <protection/>
    </xf>
    <xf numFmtId="0" fontId="15" fillId="0" borderId="10" xfId="52" applyBorder="1" quotePrefix="1">
      <alignment/>
      <protection/>
    </xf>
    <xf numFmtId="0" fontId="15" fillId="0" borderId="16" xfId="52" applyBorder="1" quotePrefix="1">
      <alignment/>
      <protection/>
    </xf>
    <xf numFmtId="0" fontId="28" fillId="0" borderId="19" xfId="52" applyFont="1" applyBorder="1" applyAlignment="1">
      <alignment horizontal="center"/>
      <protection/>
    </xf>
    <xf numFmtId="0" fontId="15" fillId="0" borderId="17" xfId="52" applyBorder="1" applyAlignment="1">
      <alignment horizontal="center"/>
      <protection/>
    </xf>
    <xf numFmtId="0" fontId="15" fillId="0" borderId="16" xfId="52" applyFont="1" applyFill="1" applyBorder="1">
      <alignment/>
      <protection/>
    </xf>
    <xf numFmtId="0" fontId="15" fillId="9" borderId="21" xfId="52" applyFill="1" applyBorder="1" applyAlignment="1">
      <alignment horizontal="center"/>
      <protection/>
    </xf>
    <xf numFmtId="0" fontId="29" fillId="0" borderId="0" xfId="52" applyFont="1" applyAlignment="1">
      <alignment horizontal="center"/>
      <protection/>
    </xf>
    <xf numFmtId="0" fontId="29" fillId="0" borderId="13" xfId="52" applyFont="1" applyBorder="1" applyAlignment="1">
      <alignment horizontal="center"/>
      <protection/>
    </xf>
    <xf numFmtId="0" fontId="28" fillId="0" borderId="21" xfId="52" applyFont="1" applyBorder="1" applyAlignment="1">
      <alignment horizontal="center"/>
      <protection/>
    </xf>
    <xf numFmtId="0" fontId="15" fillId="9" borderId="17" xfId="52" applyFill="1" applyBorder="1" applyAlignment="1">
      <alignment horizontal="center"/>
      <protection/>
    </xf>
    <xf numFmtId="175" fontId="15" fillId="0" borderId="12" xfId="52" applyNumberFormat="1" applyBorder="1" applyAlignment="1">
      <alignment horizontal="center"/>
      <protection/>
    </xf>
    <xf numFmtId="0" fontId="15" fillId="9" borderId="19" xfId="52" applyFill="1" applyBorder="1" applyAlignment="1">
      <alignment horizontal="center"/>
      <protection/>
    </xf>
    <xf numFmtId="175" fontId="15" fillId="0" borderId="20" xfId="52" applyNumberFormat="1" applyBorder="1" applyAlignment="1">
      <alignment horizontal="center"/>
      <protection/>
    </xf>
    <xf numFmtId="0" fontId="15" fillId="0" borderId="15" xfId="52" applyFont="1" applyBorder="1">
      <alignment/>
      <protection/>
    </xf>
    <xf numFmtId="0" fontId="15" fillId="0" borderId="20" xfId="52" applyFont="1" applyBorder="1">
      <alignment/>
      <protection/>
    </xf>
    <xf numFmtId="0" fontId="15" fillId="9" borderId="22" xfId="52" applyFill="1" applyBorder="1" applyAlignment="1">
      <alignment horizontal="center"/>
      <protection/>
    </xf>
    <xf numFmtId="0" fontId="28" fillId="0" borderId="22" xfId="52" applyFont="1" applyBorder="1">
      <alignment/>
      <protection/>
    </xf>
    <xf numFmtId="177" fontId="28" fillId="0" borderId="23" xfId="52" applyNumberFormat="1" applyFont="1" applyBorder="1">
      <alignment/>
      <protection/>
    </xf>
    <xf numFmtId="177" fontId="15" fillId="0" borderId="23" xfId="52" applyNumberFormat="1" applyBorder="1">
      <alignment/>
      <protection/>
    </xf>
    <xf numFmtId="177" fontId="15" fillId="0" borderId="24" xfId="52" applyNumberFormat="1" applyBorder="1">
      <alignment/>
      <protection/>
    </xf>
    <xf numFmtId="177" fontId="28" fillId="0" borderId="22" xfId="52" applyNumberFormat="1" applyFont="1" applyBorder="1">
      <alignment/>
      <protection/>
    </xf>
    <xf numFmtId="0" fontId="0" fillId="0" borderId="16" xfId="52" applyFont="1" applyBorder="1">
      <alignment/>
      <protection/>
    </xf>
    <xf numFmtId="0" fontId="15" fillId="0" borderId="16" xfId="52" applyFont="1" applyBorder="1">
      <alignment/>
      <protection/>
    </xf>
    <xf numFmtId="0" fontId="15" fillId="0" borderId="0" xfId="52" applyFont="1" applyBorder="1" applyAlignment="1">
      <alignment horizontal="center"/>
      <protection/>
    </xf>
    <xf numFmtId="0" fontId="15" fillId="0" borderId="16" xfId="52" applyFont="1" applyBorder="1" quotePrefix="1">
      <alignment/>
      <protection/>
    </xf>
    <xf numFmtId="0" fontId="15" fillId="0" borderId="0" xfId="52" applyFont="1">
      <alignment/>
      <protection/>
    </xf>
    <xf numFmtId="0" fontId="0" fillId="0" borderId="15" xfId="52" applyFont="1" applyBorder="1">
      <alignment/>
      <protection/>
    </xf>
    <xf numFmtId="0" fontId="15" fillId="0" borderId="0" xfId="52" applyFont="1" applyBorder="1" applyAlignment="1">
      <alignment horizontal="left"/>
      <protection/>
    </xf>
    <xf numFmtId="2" fontId="15" fillId="0" borderId="12" xfId="52" applyNumberFormat="1" applyBorder="1">
      <alignment/>
      <protection/>
    </xf>
    <xf numFmtId="0" fontId="15" fillId="0" borderId="0" xfId="52" applyFont="1" applyBorder="1">
      <alignment/>
      <protection/>
    </xf>
    <xf numFmtId="0" fontId="15" fillId="0" borderId="11" xfId="52" applyFont="1" applyBorder="1" applyAlignment="1">
      <alignment horizontal="center"/>
      <protection/>
    </xf>
    <xf numFmtId="0" fontId="15" fillId="0" borderId="0" xfId="52" applyFont="1" applyBorder="1" quotePrefix="1">
      <alignment/>
      <protection/>
    </xf>
    <xf numFmtId="0" fontId="15" fillId="0" borderId="0" xfId="52" applyFill="1" applyBorder="1">
      <alignment/>
      <protection/>
    </xf>
    <xf numFmtId="0" fontId="15" fillId="0" borderId="16" xfId="52" applyFill="1" applyBorder="1">
      <alignment/>
      <protection/>
    </xf>
    <xf numFmtId="2" fontId="15" fillId="0" borderId="15" xfId="52" applyNumberFormat="1" applyBorder="1" applyAlignment="1">
      <alignment horizontal="center"/>
      <protection/>
    </xf>
    <xf numFmtId="2" fontId="15" fillId="0" borderId="0" xfId="52" applyNumberFormat="1" applyFont="1" applyAlignment="1">
      <alignment horizontal="left"/>
      <protection/>
    </xf>
    <xf numFmtId="2" fontId="15" fillId="0" borderId="0" xfId="52" applyNumberFormat="1" applyBorder="1" applyAlignment="1">
      <alignment horizontal="center"/>
      <protection/>
    </xf>
    <xf numFmtId="0" fontId="15" fillId="0" borderId="25" xfId="52" applyBorder="1" applyAlignment="1">
      <alignment horizontal="center"/>
      <protection/>
    </xf>
    <xf numFmtId="0" fontId="15" fillId="0" borderId="13" xfId="52" applyFont="1" applyBorder="1" applyAlignment="1">
      <alignment horizontal="center"/>
      <protection/>
    </xf>
    <xf numFmtId="0" fontId="28" fillId="0" borderId="13" xfId="52" applyFont="1" applyBorder="1" applyAlignment="1">
      <alignment/>
      <protection/>
    </xf>
    <xf numFmtId="0" fontId="15" fillId="0" borderId="0" xfId="52" applyFont="1">
      <alignment/>
      <protection/>
    </xf>
    <xf numFmtId="0" fontId="0" fillId="0" borderId="16" xfId="52" applyFont="1" applyBorder="1">
      <alignment/>
      <protection/>
    </xf>
    <xf numFmtId="177" fontId="1" fillId="0" borderId="22" xfId="52" applyNumberFormat="1" applyFont="1" applyBorder="1">
      <alignment/>
      <protection/>
    </xf>
    <xf numFmtId="2" fontId="15" fillId="0" borderId="10" xfId="52" applyNumberFormat="1" applyBorder="1" applyAlignment="1">
      <alignment horizontal="center"/>
      <protection/>
    </xf>
    <xf numFmtId="0" fontId="0" fillId="0" borderId="26" xfId="52" applyFont="1" applyBorder="1" applyAlignment="1">
      <alignment horizontal="center"/>
      <protection/>
    </xf>
    <xf numFmtId="0" fontId="0" fillId="0" borderId="27" xfId="52" applyFont="1" applyBorder="1" applyAlignment="1">
      <alignment horizontal="center"/>
      <protection/>
    </xf>
    <xf numFmtId="2" fontId="0" fillId="0" borderId="28" xfId="52" applyNumberFormat="1" applyFont="1" applyBorder="1" applyAlignment="1">
      <alignment horizontal="center"/>
      <protection/>
    </xf>
    <xf numFmtId="0" fontId="0" fillId="0" borderId="0" xfId="52" applyFont="1">
      <alignment/>
      <protection/>
    </xf>
    <xf numFmtId="0" fontId="15" fillId="0" borderId="15" xfId="52" applyFont="1" applyFill="1" applyBorder="1">
      <alignment/>
      <protection/>
    </xf>
    <xf numFmtId="0" fontId="15" fillId="0" borderId="0" xfId="52" applyFill="1">
      <alignment/>
      <protection/>
    </xf>
    <xf numFmtId="0" fontId="0" fillId="0" borderId="15" xfId="52" applyFont="1" applyFill="1" applyBorder="1">
      <alignment/>
      <protection/>
    </xf>
    <xf numFmtId="0" fontId="15" fillId="0" borderId="20" xfId="52" applyFont="1" applyFill="1" applyBorder="1">
      <alignment/>
      <protection/>
    </xf>
    <xf numFmtId="0" fontId="15" fillId="0" borderId="0" xfId="52" applyBorder="1" applyAlignment="1">
      <alignment horizontal="center"/>
      <protection/>
    </xf>
    <xf numFmtId="0" fontId="0" fillId="0" borderId="15" xfId="52" applyFont="1" applyBorder="1">
      <alignment/>
      <protection/>
    </xf>
    <xf numFmtId="0" fontId="15" fillId="0" borderId="17" xfId="52" applyBorder="1" quotePrefix="1">
      <alignment/>
      <protection/>
    </xf>
    <xf numFmtId="0" fontId="15" fillId="0" borderId="16" xfId="52" applyFont="1" applyBorder="1" applyAlignment="1">
      <alignment horizontal="left"/>
      <protection/>
    </xf>
    <xf numFmtId="0" fontId="15" fillId="0" borderId="18" xfId="52" applyFont="1" applyBorder="1" applyAlignment="1">
      <alignment horizontal="left"/>
      <protection/>
    </xf>
    <xf numFmtId="2" fontId="15" fillId="0" borderId="0" xfId="52" applyNumberFormat="1" applyFont="1" applyBorder="1">
      <alignment/>
      <protection/>
    </xf>
    <xf numFmtId="2" fontId="0" fillId="0" borderId="0" xfId="52" applyNumberFormat="1" applyFont="1" applyBorder="1" applyAlignment="1">
      <alignment horizontal="center"/>
      <protection/>
    </xf>
    <xf numFmtId="0" fontId="15" fillId="0" borderId="29" xfId="52" applyBorder="1">
      <alignment/>
      <protection/>
    </xf>
    <xf numFmtId="0" fontId="15" fillId="0" borderId="30" xfId="52" applyBorder="1">
      <alignment/>
      <protection/>
    </xf>
    <xf numFmtId="0" fontId="15" fillId="0" borderId="19" xfId="52" applyFont="1" applyBorder="1" applyAlignment="1">
      <alignment horizontal="center"/>
      <protection/>
    </xf>
    <xf numFmtId="177" fontId="15" fillId="0" borderId="16" xfId="52" applyNumberFormat="1" applyBorder="1" applyAlignment="1" quotePrefix="1">
      <alignment horizontal="center"/>
      <protection/>
    </xf>
    <xf numFmtId="0" fontId="0" fillId="0" borderId="18" xfId="52" applyFont="1" applyBorder="1" applyAlignment="1" quotePrefix="1">
      <alignment horizontal="center"/>
      <protection/>
    </xf>
    <xf numFmtId="2" fontId="15" fillId="0" borderId="0" xfId="52" applyNumberFormat="1" applyFont="1" applyBorder="1" applyAlignment="1">
      <alignment horizontal="center"/>
      <protection/>
    </xf>
    <xf numFmtId="182" fontId="15" fillId="0" borderId="0" xfId="52" applyNumberFormat="1">
      <alignment/>
      <protection/>
    </xf>
    <xf numFmtId="2" fontId="15" fillId="0" borderId="15" xfId="52" applyNumberFormat="1" applyBorder="1">
      <alignment/>
      <protection/>
    </xf>
    <xf numFmtId="2" fontId="15" fillId="0" borderId="31" xfId="52" applyNumberFormat="1" applyBorder="1">
      <alignment/>
      <protection/>
    </xf>
    <xf numFmtId="2" fontId="15" fillId="0" borderId="20" xfId="52" applyNumberFormat="1" applyBorder="1">
      <alignment/>
      <protection/>
    </xf>
    <xf numFmtId="2" fontId="15" fillId="0" borderId="14" xfId="52" applyNumberFormat="1" applyBorder="1">
      <alignment/>
      <protection/>
    </xf>
    <xf numFmtId="0" fontId="15" fillId="0" borderId="22" xfId="52" applyBorder="1" applyAlignment="1">
      <alignment horizontal="center"/>
      <protection/>
    </xf>
    <xf numFmtId="177" fontId="15" fillId="0" borderId="22" xfId="52" applyNumberFormat="1" applyBorder="1">
      <alignment/>
      <protection/>
    </xf>
    <xf numFmtId="0" fontId="0" fillId="0" borderId="15" xfId="52" applyFont="1" applyBorder="1">
      <alignment/>
      <protection/>
    </xf>
    <xf numFmtId="0" fontId="0" fillId="0" borderId="0" xfId="52" applyFont="1" applyAlignment="1">
      <alignment horizontal="center"/>
      <protection/>
    </xf>
    <xf numFmtId="0" fontId="15" fillId="0" borderId="0" xfId="52" applyFont="1" applyFill="1">
      <alignment/>
      <protection/>
    </xf>
    <xf numFmtId="0" fontId="0" fillId="0" borderId="0" xfId="52" applyFont="1" applyFill="1" applyBorder="1">
      <alignment/>
      <protection/>
    </xf>
    <xf numFmtId="0" fontId="1" fillId="0" borderId="0" xfId="52" applyFont="1" applyFill="1" applyBorder="1">
      <alignment/>
      <protection/>
    </xf>
    <xf numFmtId="2" fontId="15" fillId="0" borderId="32" xfId="52" applyNumberFormat="1" applyBorder="1" applyAlignment="1">
      <alignment horizontal="left"/>
      <protection/>
    </xf>
    <xf numFmtId="0" fontId="15" fillId="0" borderId="10" xfId="52" applyFont="1" applyBorder="1">
      <alignment/>
      <protection/>
    </xf>
    <xf numFmtId="0" fontId="15" fillId="0" borderId="14" xfId="52" applyBorder="1" quotePrefix="1">
      <alignment/>
      <protection/>
    </xf>
    <xf numFmtId="0" fontId="15" fillId="0" borderId="15" xfId="52" applyFont="1" applyBorder="1" applyAlignment="1">
      <alignment horizontal="left"/>
      <protection/>
    </xf>
    <xf numFmtId="0" fontId="15" fillId="0" borderId="20" xfId="52" applyFont="1" applyBorder="1" applyAlignment="1">
      <alignment horizontal="left"/>
      <protection/>
    </xf>
    <xf numFmtId="175" fontId="15" fillId="0" borderId="0" xfId="52" applyNumberFormat="1" applyBorder="1">
      <alignment/>
      <protection/>
    </xf>
    <xf numFmtId="196" fontId="15" fillId="0" borderId="15" xfId="52" applyNumberFormat="1" applyBorder="1">
      <alignment/>
      <protection/>
    </xf>
    <xf numFmtId="196" fontId="15" fillId="0" borderId="20" xfId="52" applyNumberFormat="1" applyBorder="1">
      <alignment/>
      <protection/>
    </xf>
    <xf numFmtId="196" fontId="15" fillId="0" borderId="0" xfId="52" applyNumberFormat="1" applyFont="1" applyBorder="1" applyAlignment="1">
      <alignment horizontal="center"/>
      <protection/>
    </xf>
    <xf numFmtId="2" fontId="0" fillId="18" borderId="0" xfId="52" applyNumberFormat="1" applyFont="1" applyFill="1" applyBorder="1" applyAlignment="1">
      <alignment horizontal="center"/>
      <protection/>
    </xf>
    <xf numFmtId="196" fontId="0" fillId="0" borderId="0" xfId="52" applyNumberFormat="1" applyFont="1" applyBorder="1" applyAlignment="1">
      <alignment horizontal="center"/>
      <protection/>
    </xf>
    <xf numFmtId="2" fontId="52" fillId="0" borderId="0" xfId="52" applyNumberFormat="1" applyFont="1" applyBorder="1" applyAlignment="1">
      <alignment horizontal="center"/>
      <protection/>
    </xf>
    <xf numFmtId="2" fontId="1" fillId="18" borderId="0" xfId="52" applyNumberFormat="1" applyFont="1" applyFill="1" applyBorder="1" applyAlignment="1">
      <alignment horizontal="center"/>
      <protection/>
    </xf>
    <xf numFmtId="2" fontId="15" fillId="18" borderId="0" xfId="52" applyNumberFormat="1" applyFont="1" applyFill="1" applyBorder="1" applyAlignment="1">
      <alignment horizontal="center"/>
      <protection/>
    </xf>
    <xf numFmtId="196" fontId="15" fillId="0" borderId="0" xfId="52" applyNumberFormat="1" applyFont="1" applyFill="1" applyBorder="1" applyAlignment="1">
      <alignment horizontal="center"/>
      <protection/>
    </xf>
    <xf numFmtId="2" fontId="28" fillId="18" borderId="0" xfId="52" applyNumberFormat="1" applyFont="1" applyFill="1" applyBorder="1" applyAlignment="1">
      <alignment horizontal="center"/>
      <protection/>
    </xf>
    <xf numFmtId="196" fontId="1" fillId="0" borderId="0" xfId="52" applyNumberFormat="1" applyFont="1" applyFill="1" applyBorder="1" applyAlignment="1">
      <alignment horizontal="center"/>
      <protection/>
    </xf>
    <xf numFmtId="196" fontId="1" fillId="0" borderId="12" xfId="52" applyNumberFormat="1" applyFont="1" applyBorder="1" applyAlignment="1">
      <alignment horizontal="center"/>
      <protection/>
    </xf>
    <xf numFmtId="2" fontId="1" fillId="18" borderId="33" xfId="52" applyNumberFormat="1" applyFont="1" applyFill="1" applyBorder="1" applyAlignment="1">
      <alignment horizontal="center"/>
      <protection/>
    </xf>
    <xf numFmtId="0" fontId="30" fillId="0" borderId="10" xfId="52" applyFont="1" applyBorder="1" applyAlignment="1">
      <alignment horizontal="center"/>
      <protection/>
    </xf>
    <xf numFmtId="2" fontId="28" fillId="0" borderId="0" xfId="52" applyNumberFormat="1" applyFont="1" applyFill="1" applyBorder="1" applyAlignment="1">
      <alignment horizontal="center"/>
      <protection/>
    </xf>
    <xf numFmtId="2" fontId="28" fillId="0" borderId="12" xfId="52" applyNumberFormat="1" applyFont="1" applyFill="1" applyBorder="1" applyAlignment="1">
      <alignment horizontal="center"/>
      <protection/>
    </xf>
    <xf numFmtId="0" fontId="15" fillId="0" borderId="12" xfId="52" applyFont="1" applyBorder="1" applyAlignment="1">
      <alignment horizontal="left"/>
      <protection/>
    </xf>
    <xf numFmtId="0" fontId="15" fillId="9" borderId="17" xfId="52" applyFill="1" applyBorder="1">
      <alignment/>
      <protection/>
    </xf>
    <xf numFmtId="0" fontId="28" fillId="0" borderId="19" xfId="52" applyFont="1" applyBorder="1" applyAlignment="1">
      <alignment/>
      <protection/>
    </xf>
    <xf numFmtId="0" fontId="15" fillId="0" borderId="34" xfId="52" applyBorder="1" applyAlignment="1">
      <alignment horizontal="center"/>
      <protection/>
    </xf>
    <xf numFmtId="2" fontId="0" fillId="0" borderId="33" xfId="52" applyNumberFormat="1" applyFont="1" applyBorder="1" applyAlignment="1">
      <alignment horizontal="center"/>
      <protection/>
    </xf>
    <xf numFmtId="0" fontId="15" fillId="0" borderId="0" xfId="52" applyFont="1" quotePrefix="1">
      <alignment/>
      <protection/>
    </xf>
    <xf numFmtId="0" fontId="15" fillId="0" borderId="35" xfId="52" applyBorder="1" applyAlignment="1">
      <alignment horizontal="center"/>
      <protection/>
    </xf>
    <xf numFmtId="2" fontId="0" fillId="0" borderId="36" xfId="52" applyNumberFormat="1" applyFont="1" applyBorder="1" applyAlignment="1">
      <alignment horizontal="center"/>
      <protection/>
    </xf>
    <xf numFmtId="0" fontId="15" fillId="0" borderId="37" xfId="52" applyBorder="1" applyAlignment="1">
      <alignment horizontal="center"/>
      <protection/>
    </xf>
    <xf numFmtId="177" fontId="15" fillId="0" borderId="28" xfId="52" applyNumberFormat="1" applyBorder="1">
      <alignment/>
      <protection/>
    </xf>
    <xf numFmtId="177" fontId="15" fillId="0" borderId="33" xfId="52" applyNumberFormat="1" applyBorder="1">
      <alignment/>
      <protection/>
    </xf>
    <xf numFmtId="196" fontId="15" fillId="0" borderId="0" xfId="52" applyNumberFormat="1" applyBorder="1">
      <alignment/>
      <protection/>
    </xf>
    <xf numFmtId="196" fontId="15" fillId="0" borderId="12" xfId="52" applyNumberFormat="1" applyBorder="1">
      <alignment/>
      <protection/>
    </xf>
    <xf numFmtId="0" fontId="15" fillId="0" borderId="0" xfId="52" applyFont="1" applyAlignment="1" quotePrefix="1">
      <alignment horizontal="left"/>
      <protection/>
    </xf>
    <xf numFmtId="0" fontId="15" fillId="0" borderId="0" xfId="52" applyFont="1" applyAlignment="1">
      <alignment horizontal="left"/>
      <protection/>
    </xf>
    <xf numFmtId="0" fontId="28" fillId="0" borderId="0" xfId="52" applyFont="1" applyAlignment="1" quotePrefix="1">
      <alignment horizontal="left"/>
      <protection/>
    </xf>
    <xf numFmtId="196" fontId="42" fillId="0" borderId="0" xfId="52" applyNumberFormat="1" applyFont="1" applyBorder="1">
      <alignment/>
      <protection/>
    </xf>
    <xf numFmtId="196" fontId="42" fillId="0" borderId="15" xfId="52" applyNumberFormat="1" applyFont="1" applyBorder="1">
      <alignment/>
      <protection/>
    </xf>
    <xf numFmtId="177" fontId="15" fillId="0" borderId="17" xfId="52" applyNumberFormat="1" applyBorder="1">
      <alignment/>
      <protection/>
    </xf>
    <xf numFmtId="177" fontId="15" fillId="0" borderId="16" xfId="52" applyNumberFormat="1" applyBorder="1">
      <alignment/>
      <protection/>
    </xf>
    <xf numFmtId="177" fontId="0" fillId="0" borderId="23" xfId="52" applyNumberFormat="1" applyFont="1" applyBorder="1">
      <alignment/>
      <protection/>
    </xf>
    <xf numFmtId="177" fontId="0" fillId="0" borderId="24" xfId="52" applyNumberFormat="1" applyFont="1" applyBorder="1">
      <alignment/>
      <protection/>
    </xf>
    <xf numFmtId="3" fontId="15" fillId="0" borderId="0" xfId="52" applyNumberFormat="1" applyFont="1" applyBorder="1">
      <alignment/>
      <protection/>
    </xf>
    <xf numFmtId="2" fontId="15" fillId="0" borderId="0" xfId="52" applyNumberFormat="1" applyBorder="1" applyAlignment="1">
      <alignment horizontal="left"/>
      <protection/>
    </xf>
    <xf numFmtId="2" fontId="15" fillId="0" borderId="38" xfId="52" applyNumberFormat="1" applyBorder="1" applyAlignment="1">
      <alignment horizontal="left"/>
      <protection/>
    </xf>
    <xf numFmtId="2" fontId="15" fillId="0" borderId="28" xfId="52" applyNumberFormat="1" applyFont="1" applyBorder="1" applyAlignment="1">
      <alignment horizontal="center"/>
      <protection/>
    </xf>
    <xf numFmtId="0" fontId="15" fillId="0" borderId="39" xfId="52" applyBorder="1">
      <alignment/>
      <protection/>
    </xf>
    <xf numFmtId="0" fontId="0" fillId="0" borderId="40" xfId="52" applyFont="1" applyBorder="1" applyAlignment="1">
      <alignment horizontal="left"/>
      <protection/>
    </xf>
    <xf numFmtId="0" fontId="0" fillId="0" borderId="0" xfId="52" applyFont="1" applyBorder="1" applyAlignment="1">
      <alignment horizontal="left"/>
      <protection/>
    </xf>
    <xf numFmtId="0" fontId="15" fillId="0" borderId="41" xfId="52" applyBorder="1">
      <alignment/>
      <protection/>
    </xf>
    <xf numFmtId="0" fontId="0" fillId="0" borderId="0" xfId="52" applyFont="1" applyFill="1">
      <alignment/>
      <protection/>
    </xf>
    <xf numFmtId="0" fontId="15" fillId="9" borderId="42" xfId="52" applyFont="1" applyFill="1" applyBorder="1">
      <alignment/>
      <protection/>
    </xf>
    <xf numFmtId="2" fontId="15" fillId="9" borderId="37" xfId="52" applyNumberFormat="1" applyFont="1" applyFill="1" applyBorder="1" applyAlignment="1">
      <alignment horizontal="left"/>
      <protection/>
    </xf>
    <xf numFmtId="0" fontId="28" fillId="0" borderId="11" xfId="52" applyFont="1" applyBorder="1" applyAlignment="1">
      <alignment/>
      <protection/>
    </xf>
    <xf numFmtId="0" fontId="15" fillId="9" borderId="21" xfId="52" applyFill="1" applyBorder="1">
      <alignment/>
      <protection/>
    </xf>
    <xf numFmtId="0" fontId="15" fillId="9" borderId="19" xfId="52" applyFont="1" applyFill="1" applyBorder="1" applyAlignment="1">
      <alignment horizontal="center"/>
      <protection/>
    </xf>
    <xf numFmtId="0" fontId="15" fillId="9" borderId="17" xfId="52" applyFont="1" applyFill="1" applyBorder="1" applyAlignment="1">
      <alignment horizontal="center"/>
      <protection/>
    </xf>
    <xf numFmtId="0" fontId="28" fillId="0" borderId="19" xfId="52" applyFont="1" applyBorder="1" applyAlignment="1">
      <alignment horizontal="left"/>
      <protection/>
    </xf>
    <xf numFmtId="0" fontId="28" fillId="0" borderId="13" xfId="52" applyFont="1" applyBorder="1" applyAlignment="1">
      <alignment horizontal="left"/>
      <protection/>
    </xf>
    <xf numFmtId="0" fontId="8" fillId="0" borderId="0" xfId="52" applyFont="1" applyBorder="1" applyAlignment="1">
      <alignment horizontal="left"/>
      <protection/>
    </xf>
    <xf numFmtId="0" fontId="8" fillId="0" borderId="12" xfId="52" applyFont="1" applyBorder="1" applyAlignment="1">
      <alignment horizontal="left"/>
      <protection/>
    </xf>
    <xf numFmtId="0" fontId="8" fillId="0" borderId="10" xfId="52" applyFont="1" applyBorder="1">
      <alignment/>
      <protection/>
    </xf>
    <xf numFmtId="0" fontId="0" fillId="0" borderId="0" xfId="52" applyFont="1" applyBorder="1">
      <alignment/>
      <protection/>
    </xf>
    <xf numFmtId="0" fontId="15" fillId="0" borderId="43" xfId="52" applyBorder="1">
      <alignment/>
      <protection/>
    </xf>
    <xf numFmtId="0" fontId="15" fillId="0" borderId="44" xfId="52" applyBorder="1">
      <alignment/>
      <protection/>
    </xf>
    <xf numFmtId="0" fontId="15" fillId="0" borderId="43" xfId="52" applyFont="1" applyBorder="1">
      <alignment/>
      <protection/>
    </xf>
    <xf numFmtId="0" fontId="15" fillId="0" borderId="45" xfId="52" applyBorder="1">
      <alignment/>
      <protection/>
    </xf>
    <xf numFmtId="0" fontId="15" fillId="0" borderId="46" xfId="52" applyBorder="1">
      <alignment/>
      <protection/>
    </xf>
    <xf numFmtId="0" fontId="15" fillId="0" borderId="47" xfId="52" applyBorder="1">
      <alignment/>
      <protection/>
    </xf>
    <xf numFmtId="0" fontId="15" fillId="0" borderId="46" xfId="52" applyFont="1" applyBorder="1">
      <alignment/>
      <protection/>
    </xf>
    <xf numFmtId="0" fontId="15" fillId="0" borderId="48" xfId="52" applyBorder="1">
      <alignment/>
      <protection/>
    </xf>
    <xf numFmtId="0" fontId="15" fillId="0" borderId="43" xfId="52" applyFill="1" applyBorder="1">
      <alignment/>
      <protection/>
    </xf>
    <xf numFmtId="0" fontId="15" fillId="0" borderId="45" xfId="52" applyFill="1" applyBorder="1">
      <alignment/>
      <protection/>
    </xf>
    <xf numFmtId="0" fontId="28" fillId="0" borderId="46" xfId="52" applyFont="1" applyBorder="1" quotePrefix="1">
      <alignment/>
      <protection/>
    </xf>
    <xf numFmtId="0" fontId="15" fillId="0" borderId="48" xfId="52" applyBorder="1" applyAlignment="1">
      <alignment horizontal="left"/>
      <protection/>
    </xf>
    <xf numFmtId="0" fontId="15" fillId="0" borderId="43" xfId="52" applyBorder="1" quotePrefix="1">
      <alignment/>
      <protection/>
    </xf>
    <xf numFmtId="0" fontId="15" fillId="0" borderId="45" xfId="52" applyBorder="1" applyAlignment="1">
      <alignment horizontal="left"/>
      <protection/>
    </xf>
    <xf numFmtId="0" fontId="28" fillId="0" borderId="46" xfId="52" applyFont="1" applyBorder="1">
      <alignment/>
      <protection/>
    </xf>
    <xf numFmtId="0" fontId="15" fillId="0" borderId="44" xfId="52" applyFont="1" applyBorder="1">
      <alignment/>
      <protection/>
    </xf>
    <xf numFmtId="0" fontId="15" fillId="0" borderId="47" xfId="52" applyFont="1" applyBorder="1">
      <alignment/>
      <protection/>
    </xf>
    <xf numFmtId="0" fontId="15" fillId="0" borderId="23" xfId="52" applyBorder="1" quotePrefix="1">
      <alignment/>
      <protection/>
    </xf>
    <xf numFmtId="0" fontId="15" fillId="0" borderId="23" xfId="52" applyBorder="1">
      <alignment/>
      <protection/>
    </xf>
    <xf numFmtId="0" fontId="15" fillId="0" borderId="24" xfId="52" applyBorder="1">
      <alignment/>
      <protection/>
    </xf>
    <xf numFmtId="2" fontId="15" fillId="0" borderId="14" xfId="52" applyNumberFormat="1" applyFont="1" applyBorder="1">
      <alignment/>
      <protection/>
    </xf>
    <xf numFmtId="2" fontId="15" fillId="0" borderId="15" xfId="52" applyNumberFormat="1" applyFont="1" applyBorder="1">
      <alignment/>
      <protection/>
    </xf>
    <xf numFmtId="2" fontId="15" fillId="0" borderId="20" xfId="52" applyNumberFormat="1" applyFont="1" applyBorder="1">
      <alignment/>
      <protection/>
    </xf>
    <xf numFmtId="0" fontId="15" fillId="0" borderId="23" xfId="52" applyBorder="1" applyAlignment="1">
      <alignment horizontal="center"/>
      <protection/>
    </xf>
    <xf numFmtId="0" fontId="15" fillId="0" borderId="23" xfId="52" applyFont="1" applyBorder="1" applyAlignment="1">
      <alignment horizontal="center"/>
      <protection/>
    </xf>
    <xf numFmtId="2" fontId="1" fillId="0" borderId="0" xfId="52" applyNumberFormat="1" applyFont="1" applyFill="1" applyBorder="1" applyAlignment="1">
      <alignment horizontal="center"/>
      <protection/>
    </xf>
    <xf numFmtId="2" fontId="15" fillId="0" borderId="0" xfId="52" applyNumberFormat="1" applyFont="1" applyFill="1" applyBorder="1" applyAlignment="1">
      <alignment horizontal="center"/>
      <protection/>
    </xf>
    <xf numFmtId="0" fontId="29" fillId="0" borderId="17" xfId="52" applyFont="1" applyBorder="1" applyAlignment="1">
      <alignment horizontal="left"/>
      <protection/>
    </xf>
    <xf numFmtId="0" fontId="29" fillId="0" borderId="16" xfId="52" applyFont="1" applyBorder="1" applyAlignment="1">
      <alignment horizontal="left"/>
      <protection/>
    </xf>
    <xf numFmtId="0" fontId="29" fillId="0" borderId="18" xfId="52" applyFont="1" applyBorder="1" applyAlignment="1">
      <alignment horizontal="left"/>
      <protection/>
    </xf>
    <xf numFmtId="0" fontId="42" fillId="0" borderId="0" xfId="52" applyFont="1">
      <alignment/>
      <protection/>
    </xf>
    <xf numFmtId="0" fontId="34" fillId="0" borderId="0" xfId="52" applyFont="1" applyAlignment="1">
      <alignment horizontal="center"/>
      <protection/>
    </xf>
    <xf numFmtId="0" fontId="61" fillId="0" borderId="0" xfId="52" applyFont="1" applyAlignment="1">
      <alignment horizontal="center"/>
      <protection/>
    </xf>
    <xf numFmtId="0" fontId="34" fillId="0" borderId="12" xfId="52" applyFont="1" applyBorder="1" applyAlignment="1">
      <alignment horizontal="center"/>
      <protection/>
    </xf>
    <xf numFmtId="175" fontId="34" fillId="0" borderId="15" xfId="52" applyNumberFormat="1" applyFont="1" applyBorder="1" applyAlignment="1">
      <alignment horizontal="center"/>
      <protection/>
    </xf>
    <xf numFmtId="0" fontId="28" fillId="10" borderId="11" xfId="52" applyFont="1" applyFill="1" applyBorder="1" applyAlignment="1" applyProtection="1">
      <alignment vertical="center"/>
      <protection locked="0"/>
    </xf>
    <xf numFmtId="0" fontId="28" fillId="0" borderId="11" xfId="52" applyFont="1" applyBorder="1" applyAlignment="1" applyProtection="1">
      <alignment horizontal="center" vertical="center"/>
      <protection locked="0"/>
    </xf>
    <xf numFmtId="0" fontId="28" fillId="2" borderId="11" xfId="52" applyFont="1" applyFill="1" applyBorder="1" applyAlignment="1" applyProtection="1">
      <alignment vertical="center"/>
      <protection locked="0"/>
    </xf>
    <xf numFmtId="0" fontId="28" fillId="10" borderId="49" xfId="52" applyFont="1" applyFill="1" applyBorder="1" applyAlignment="1" applyProtection="1">
      <alignment horizontal="center" vertical="center"/>
      <protection locked="0"/>
    </xf>
    <xf numFmtId="0" fontId="15" fillId="0" borderId="12" xfId="52" applyBorder="1" applyAlignment="1" applyProtection="1">
      <alignment vertical="center"/>
      <protection locked="0"/>
    </xf>
    <xf numFmtId="0" fontId="30" fillId="0" borderId="12" xfId="52" applyFont="1" applyBorder="1" applyAlignment="1" applyProtection="1">
      <alignment vertical="center"/>
      <protection locked="0"/>
    </xf>
    <xf numFmtId="0" fontId="29" fillId="0" borderId="12" xfId="52" applyFont="1" applyBorder="1" applyAlignment="1" applyProtection="1">
      <alignment vertical="center"/>
      <protection locked="0"/>
    </xf>
    <xf numFmtId="0" fontId="32" fillId="0" borderId="0" xfId="52" applyFont="1" applyBorder="1" applyAlignment="1" applyProtection="1">
      <alignment horizontal="center" vertical="center"/>
      <protection locked="0"/>
    </xf>
    <xf numFmtId="0" fontId="0" fillId="19" borderId="0" xfId="0" applyFont="1" applyFill="1" applyBorder="1" applyAlignment="1" applyProtection="1">
      <alignment vertical="center"/>
      <protection locked="0"/>
    </xf>
    <xf numFmtId="0" fontId="15" fillId="2" borderId="0" xfId="52" applyFont="1" applyFill="1" applyBorder="1" applyAlignment="1" applyProtection="1">
      <alignment vertical="center"/>
      <protection locked="0"/>
    </xf>
    <xf numFmtId="10" fontId="15" fillId="2" borderId="15" xfId="52" applyNumberFormat="1" applyFill="1" applyBorder="1" applyAlignment="1" applyProtection="1">
      <alignment vertical="center"/>
      <protection locked="0"/>
    </xf>
    <xf numFmtId="49" fontId="15" fillId="2" borderId="0" xfId="52" applyNumberFormat="1" applyFont="1" applyFill="1" applyBorder="1" applyAlignment="1" applyProtection="1">
      <alignment vertical="center"/>
      <protection locked="0"/>
    </xf>
    <xf numFmtId="0" fontId="0" fillId="19" borderId="0" xfId="0" applyFont="1" applyFill="1" applyBorder="1" applyAlignment="1" applyProtection="1">
      <alignment horizontal="left" vertical="center"/>
      <protection locked="0"/>
    </xf>
    <xf numFmtId="3" fontId="15" fillId="19" borderId="0" xfId="49" applyNumberFormat="1" applyFill="1" applyBorder="1" applyAlignment="1" applyProtection="1">
      <alignment horizontal="right" vertical="center"/>
      <protection locked="0"/>
    </xf>
    <xf numFmtId="2" fontId="15" fillId="2" borderId="0" xfId="49" applyNumberFormat="1" applyFill="1" applyBorder="1" applyAlignment="1" applyProtection="1">
      <alignment horizontal="right" vertical="center"/>
      <protection locked="0"/>
    </xf>
    <xf numFmtId="10" fontId="8" fillId="19" borderId="0" xfId="0" applyNumberFormat="1" applyFont="1" applyFill="1" applyBorder="1" applyAlignment="1" applyProtection="1">
      <alignment vertical="center"/>
      <protection locked="0"/>
    </xf>
    <xf numFmtId="49" fontId="0" fillId="2" borderId="0" xfId="52" applyNumberFormat="1" applyFont="1" applyFill="1" applyBorder="1" applyAlignment="1" applyProtection="1">
      <alignment vertical="center"/>
      <protection locked="0"/>
    </xf>
    <xf numFmtId="3" fontId="0" fillId="19" borderId="0" xfId="0" applyNumberFormat="1" applyFont="1" applyFill="1" applyBorder="1" applyAlignment="1" applyProtection="1">
      <alignment vertical="center"/>
      <protection locked="0"/>
    </xf>
    <xf numFmtId="2" fontId="15" fillId="2" borderId="0" xfId="52" applyNumberFormat="1" applyFill="1" applyBorder="1" applyAlignment="1" applyProtection="1">
      <alignment horizontal="right" vertical="center"/>
      <protection locked="0"/>
    </xf>
    <xf numFmtId="10" fontId="8" fillId="19" borderId="15" xfId="0" applyNumberFormat="1" applyFont="1" applyFill="1" applyBorder="1" applyAlignment="1" applyProtection="1">
      <alignment vertical="center"/>
      <protection locked="0"/>
    </xf>
    <xf numFmtId="0" fontId="8" fillId="19" borderId="0" xfId="0" applyFont="1" applyFill="1" applyBorder="1" applyAlignment="1" applyProtection="1">
      <alignment horizontal="left" vertical="center"/>
      <protection locked="0"/>
    </xf>
    <xf numFmtId="0" fontId="15" fillId="2" borderId="0" xfId="52" applyFill="1" applyBorder="1" applyAlignment="1" applyProtection="1">
      <alignment vertical="center"/>
      <protection locked="0"/>
    </xf>
    <xf numFmtId="49" fontId="15" fillId="2" borderId="0" xfId="52" applyNumberFormat="1" applyFill="1" applyBorder="1" applyAlignment="1" applyProtection="1">
      <alignment vertical="center"/>
      <protection locked="0"/>
    </xf>
    <xf numFmtId="0" fontId="8" fillId="19" borderId="0" xfId="0" applyFont="1" applyFill="1" applyBorder="1" applyAlignment="1" applyProtection="1">
      <alignment horizontal="left" vertical="center"/>
      <protection locked="0"/>
    </xf>
    <xf numFmtId="175" fontId="0" fillId="19" borderId="12" xfId="0" applyNumberFormat="1" applyFont="1" applyFill="1" applyBorder="1" applyAlignment="1" applyProtection="1">
      <alignment vertical="center"/>
      <protection locked="0"/>
    </xf>
    <xf numFmtId="0" fontId="15" fillId="2" borderId="12" xfId="52" applyFont="1" applyFill="1" applyBorder="1" applyAlignment="1" applyProtection="1">
      <alignment vertical="center"/>
      <protection locked="0"/>
    </xf>
    <xf numFmtId="49" fontId="15" fillId="2" borderId="18" xfId="52" applyNumberFormat="1" applyFill="1" applyBorder="1" applyAlignment="1" applyProtection="1">
      <alignment vertical="center"/>
      <protection locked="0"/>
    </xf>
    <xf numFmtId="0" fontId="15" fillId="19" borderId="12" xfId="52" applyFill="1" applyBorder="1" applyAlignment="1" applyProtection="1">
      <alignment horizontal="left" vertical="center"/>
      <protection locked="0"/>
    </xf>
    <xf numFmtId="3" fontId="15" fillId="19" borderId="12" xfId="52" applyNumberFormat="1" applyFill="1" applyBorder="1" applyAlignment="1" applyProtection="1">
      <alignment vertical="center"/>
      <protection locked="0"/>
    </xf>
    <xf numFmtId="2" fontId="15" fillId="2" borderId="12" xfId="52" applyNumberFormat="1" applyFill="1" applyBorder="1" applyAlignment="1" applyProtection="1">
      <alignment horizontal="right" vertical="center"/>
      <protection locked="0"/>
    </xf>
    <xf numFmtId="10" fontId="0" fillId="10" borderId="12" xfId="52" applyNumberFormat="1" applyFont="1" applyFill="1" applyBorder="1" applyAlignment="1" applyProtection="1">
      <alignment vertical="center"/>
      <protection locked="0"/>
    </xf>
    <xf numFmtId="0" fontId="15" fillId="0" borderId="16" xfId="52" applyBorder="1" applyAlignment="1" applyProtection="1">
      <alignment vertical="center"/>
      <protection locked="0"/>
    </xf>
    <xf numFmtId="0" fontId="0" fillId="10" borderId="0" xfId="52" applyFont="1" applyFill="1" applyBorder="1" applyAlignment="1" applyProtection="1">
      <alignment vertical="center"/>
      <protection locked="0"/>
    </xf>
    <xf numFmtId="174" fontId="15" fillId="10" borderId="0" xfId="52" applyNumberFormat="1" applyFont="1" applyFill="1" applyBorder="1" applyAlignment="1" applyProtection="1">
      <alignment vertical="center"/>
      <protection locked="0"/>
    </xf>
    <xf numFmtId="3" fontId="0" fillId="10" borderId="0" xfId="52" applyNumberFormat="1" applyFont="1" applyFill="1" applyBorder="1" applyAlignment="1" applyProtection="1">
      <alignment vertical="center"/>
      <protection locked="0"/>
    </xf>
    <xf numFmtId="4" fontId="15" fillId="2" borderId="0" xfId="49" applyNumberFormat="1" applyFill="1" applyBorder="1" applyAlignment="1" applyProtection="1">
      <alignment horizontal="right" vertical="center"/>
      <protection locked="0"/>
    </xf>
    <xf numFmtId="4" fontId="15" fillId="19" borderId="0" xfId="52" applyNumberFormat="1" applyFill="1" applyBorder="1" applyAlignment="1" applyProtection="1">
      <alignment vertical="center"/>
      <protection locked="0"/>
    </xf>
    <xf numFmtId="0" fontId="15" fillId="10" borderId="0" xfId="52" applyFont="1" applyFill="1" applyBorder="1" applyAlignment="1" applyProtection="1">
      <alignment vertical="center"/>
      <protection locked="0"/>
    </xf>
    <xf numFmtId="3" fontId="0" fillId="10" borderId="0" xfId="52" applyNumberFormat="1" applyFont="1" applyFill="1" applyBorder="1" applyAlignment="1" applyProtection="1">
      <alignment horizontal="right" vertical="center"/>
      <protection locked="0"/>
    </xf>
    <xf numFmtId="4" fontId="15" fillId="2" borderId="0" xfId="49" applyNumberFormat="1" applyFont="1" applyFill="1" applyBorder="1" applyAlignment="1" applyProtection="1">
      <alignment horizontal="right" vertical="center"/>
      <protection locked="0"/>
    </xf>
    <xf numFmtId="4" fontId="15" fillId="2" borderId="0" xfId="49" applyNumberFormat="1" applyFont="1" applyFill="1" applyBorder="1" applyAlignment="1" applyProtection="1">
      <alignment horizontal="right" vertical="center"/>
      <protection locked="0"/>
    </xf>
    <xf numFmtId="3" fontId="0" fillId="10" borderId="0" xfId="52" applyNumberFormat="1" applyFont="1" applyFill="1" applyBorder="1" applyAlignment="1" applyProtection="1">
      <alignment horizontal="right" vertical="center"/>
      <protection locked="0"/>
    </xf>
    <xf numFmtId="0" fontId="0" fillId="10" borderId="0" xfId="52" applyFont="1" applyFill="1" applyBorder="1" applyAlignment="1" applyProtection="1">
      <alignment vertical="center"/>
      <protection locked="0"/>
    </xf>
    <xf numFmtId="174" fontId="15" fillId="10" borderId="0" xfId="52" applyNumberFormat="1" applyFill="1" applyBorder="1" applyAlignment="1" applyProtection="1">
      <alignment vertical="center"/>
      <protection locked="0"/>
    </xf>
    <xf numFmtId="3" fontId="0" fillId="10" borderId="0" xfId="52" applyNumberFormat="1" applyFont="1" applyFill="1" applyBorder="1" applyAlignment="1" applyProtection="1">
      <alignment vertical="center"/>
      <protection locked="0"/>
    </xf>
    <xf numFmtId="3" fontId="7" fillId="10" borderId="0" xfId="52" applyNumberFormat="1" applyFont="1" applyFill="1" applyBorder="1" applyAlignment="1" applyProtection="1">
      <alignment vertical="center"/>
      <protection locked="0"/>
    </xf>
    <xf numFmtId="3" fontId="15" fillId="10" borderId="0" xfId="52" applyNumberFormat="1" applyFill="1" applyBorder="1" applyAlignment="1" applyProtection="1">
      <alignment vertical="center"/>
      <protection locked="0"/>
    </xf>
    <xf numFmtId="0" fontId="15" fillId="10" borderId="0" xfId="52" applyFill="1" applyBorder="1" applyAlignment="1" applyProtection="1">
      <alignment vertical="center"/>
      <protection locked="0"/>
    </xf>
    <xf numFmtId="0" fontId="0" fillId="10" borderId="38" xfId="52" applyFont="1" applyFill="1" applyBorder="1" applyAlignment="1" applyProtection="1">
      <alignment vertical="center"/>
      <protection locked="0"/>
    </xf>
    <xf numFmtId="4" fontId="15" fillId="2" borderId="38" xfId="49" applyNumberFormat="1" applyFill="1" applyBorder="1" applyAlignment="1" applyProtection="1">
      <alignment horizontal="right" vertical="center"/>
      <protection locked="0"/>
    </xf>
    <xf numFmtId="4" fontId="15" fillId="19" borderId="38" xfId="52" applyNumberFormat="1" applyFill="1" applyBorder="1" applyAlignment="1" applyProtection="1">
      <alignment vertical="center"/>
      <protection locked="0"/>
    </xf>
    <xf numFmtId="10" fontId="0" fillId="10" borderId="11" xfId="52" applyNumberFormat="1" applyFont="1" applyFill="1" applyBorder="1" applyAlignment="1" applyProtection="1">
      <alignment vertical="center"/>
      <protection locked="0"/>
    </xf>
    <xf numFmtId="3" fontId="15" fillId="19" borderId="50" xfId="52" applyNumberFormat="1" applyFill="1" applyBorder="1" applyAlignment="1" applyProtection="1">
      <alignment vertical="center"/>
      <protection locked="0"/>
    </xf>
    <xf numFmtId="0" fontId="15" fillId="0" borderId="0" xfId="52" applyProtection="1">
      <alignment/>
      <protection locked="0"/>
    </xf>
    <xf numFmtId="0" fontId="15" fillId="0" borderId="11" xfId="52" applyBorder="1" applyProtection="1">
      <alignment/>
      <protection locked="0"/>
    </xf>
    <xf numFmtId="175" fontId="15" fillId="0" borderId="12" xfId="52" applyNumberFormat="1" applyBorder="1" applyAlignment="1" applyProtection="1">
      <alignment vertical="center"/>
      <protection locked="0"/>
    </xf>
    <xf numFmtId="179" fontId="30" fillId="0" borderId="12" xfId="52" applyNumberFormat="1" applyFont="1" applyBorder="1" applyAlignment="1" applyProtection="1">
      <alignment horizontal="center" vertical="center"/>
      <protection locked="0"/>
    </xf>
    <xf numFmtId="179" fontId="15" fillId="0" borderId="12" xfId="52" applyNumberFormat="1" applyBorder="1" applyAlignment="1" applyProtection="1">
      <alignment vertical="center"/>
      <protection locked="0"/>
    </xf>
    <xf numFmtId="4" fontId="15" fillId="0" borderId="12" xfId="52" applyNumberFormat="1" applyBorder="1" applyAlignment="1" applyProtection="1">
      <alignment horizontal="right" vertical="center"/>
      <protection locked="0"/>
    </xf>
    <xf numFmtId="3" fontId="30" fillId="0" borderId="12" xfId="52" applyNumberFormat="1" applyFont="1" applyBorder="1" applyAlignment="1" applyProtection="1">
      <alignment horizontal="center" vertical="center"/>
      <protection locked="0"/>
    </xf>
    <xf numFmtId="4" fontId="15" fillId="0" borderId="12" xfId="52" applyNumberFormat="1" applyBorder="1" applyAlignment="1" applyProtection="1">
      <alignment vertical="center"/>
      <protection locked="0"/>
    </xf>
    <xf numFmtId="0" fontId="15" fillId="10" borderId="50" xfId="52" applyFill="1" applyBorder="1" applyAlignment="1" applyProtection="1">
      <alignment horizontal="center" vertical="center"/>
      <protection locked="0"/>
    </xf>
    <xf numFmtId="0" fontId="15" fillId="10" borderId="49" xfId="52" applyFill="1" applyBorder="1" applyAlignment="1" applyProtection="1">
      <alignment horizontal="center" vertical="center"/>
      <protection locked="0"/>
    </xf>
    <xf numFmtId="175" fontId="0" fillId="10" borderId="16" xfId="52" applyNumberFormat="1" applyFont="1" applyFill="1" applyBorder="1" applyAlignment="1" applyProtection="1">
      <alignment vertical="center"/>
      <protection locked="0"/>
    </xf>
    <xf numFmtId="1" fontId="15" fillId="2" borderId="0" xfId="49" applyNumberFormat="1" applyFill="1" applyBorder="1" applyAlignment="1" applyProtection="1">
      <alignment horizontal="center" vertical="center"/>
      <protection locked="0"/>
    </xf>
    <xf numFmtId="9" fontId="15" fillId="2" borderId="0" xfId="52" applyNumberFormat="1" applyFill="1" applyBorder="1" applyAlignment="1" applyProtection="1">
      <alignment horizontal="right" vertical="center"/>
      <protection locked="0"/>
    </xf>
    <xf numFmtId="1" fontId="15" fillId="2" borderId="0" xfId="49" applyNumberFormat="1" applyFont="1" applyFill="1" applyBorder="1" applyAlignment="1" applyProtection="1">
      <alignment horizontal="center" vertical="center"/>
      <protection locked="0"/>
    </xf>
    <xf numFmtId="175" fontId="0" fillId="10" borderId="51" xfId="52" applyNumberFormat="1" applyFont="1" applyFill="1" applyBorder="1" applyAlignment="1" applyProtection="1">
      <alignment vertical="center"/>
      <protection locked="0"/>
    </xf>
    <xf numFmtId="1" fontId="15" fillId="2" borderId="52" xfId="49" applyNumberFormat="1" applyFill="1" applyBorder="1" applyAlignment="1" applyProtection="1">
      <alignment horizontal="center" vertical="center"/>
      <protection locked="0"/>
    </xf>
    <xf numFmtId="9" fontId="15" fillId="2" borderId="52" xfId="52" applyNumberFormat="1" applyFill="1" applyBorder="1" applyAlignment="1" applyProtection="1">
      <alignment horizontal="right" vertical="center"/>
      <protection locked="0"/>
    </xf>
    <xf numFmtId="175" fontId="0" fillId="10" borderId="53" xfId="52" applyNumberFormat="1" applyFont="1" applyFill="1" applyBorder="1" applyAlignment="1" applyProtection="1">
      <alignment vertical="center"/>
      <protection locked="0"/>
    </xf>
    <xf numFmtId="9" fontId="15" fillId="2" borderId="54" xfId="52" applyNumberFormat="1" applyFill="1" applyBorder="1" applyAlignment="1" applyProtection="1">
      <alignment horizontal="right" vertical="center"/>
      <protection locked="0"/>
    </xf>
    <xf numFmtId="175" fontId="15" fillId="10" borderId="54" xfId="52" applyNumberFormat="1" applyFont="1" applyFill="1" applyBorder="1" applyAlignment="1" applyProtection="1">
      <alignment horizontal="center" vertical="center"/>
      <protection locked="0"/>
    </xf>
    <xf numFmtId="1" fontId="15" fillId="2" borderId="54" xfId="49" applyNumberFormat="1" applyFont="1" applyFill="1" applyBorder="1" applyAlignment="1" applyProtection="1">
      <alignment horizontal="center" vertical="center"/>
      <protection locked="0"/>
    </xf>
    <xf numFmtId="9" fontId="15" fillId="2" borderId="54" xfId="52" applyNumberFormat="1" applyFont="1" applyFill="1" applyBorder="1" applyAlignment="1" applyProtection="1">
      <alignment horizontal="right" vertical="center"/>
      <protection locked="0"/>
    </xf>
    <xf numFmtId="175" fontId="15" fillId="10" borderId="0" xfId="52" applyNumberFormat="1" applyFont="1" applyFill="1" applyBorder="1" applyAlignment="1" applyProtection="1">
      <alignment horizontal="center" vertical="center"/>
      <protection locked="0"/>
    </xf>
    <xf numFmtId="1" fontId="15" fillId="2" borderId="0" xfId="49" applyNumberFormat="1" applyFont="1" applyFill="1" applyBorder="1" applyAlignment="1" applyProtection="1">
      <alignment horizontal="center" vertical="center"/>
      <protection locked="0"/>
    </xf>
    <xf numFmtId="9" fontId="15" fillId="2" borderId="0" xfId="52" applyNumberFormat="1" applyFont="1" applyFill="1" applyBorder="1" applyAlignment="1" applyProtection="1">
      <alignment horizontal="right" vertical="center"/>
      <protection locked="0"/>
    </xf>
    <xf numFmtId="175" fontId="15" fillId="10" borderId="52" xfId="52" applyNumberFormat="1" applyFont="1" applyFill="1" applyBorder="1" applyAlignment="1" applyProtection="1">
      <alignment horizontal="center" vertical="center"/>
      <protection locked="0"/>
    </xf>
    <xf numFmtId="9" fontId="15" fillId="2" borderId="0" xfId="52" applyNumberFormat="1" applyFont="1" applyFill="1" applyBorder="1" applyAlignment="1" applyProtection="1" quotePrefix="1">
      <alignment horizontal="right" vertical="center"/>
      <protection locked="0"/>
    </xf>
    <xf numFmtId="0" fontId="28" fillId="0" borderId="26" xfId="52" applyFont="1" applyFill="1" applyBorder="1" applyAlignment="1" applyProtection="1">
      <alignment horizontal="center"/>
      <protection locked="0"/>
    </xf>
    <xf numFmtId="0" fontId="15" fillId="19" borderId="55" xfId="52" applyFill="1" applyBorder="1" applyAlignment="1" applyProtection="1">
      <alignment vertical="center"/>
      <protection locked="0"/>
    </xf>
    <xf numFmtId="0" fontId="15" fillId="0" borderId="0" xfId="52" applyBorder="1" applyAlignment="1" applyProtection="1">
      <alignment vertical="center"/>
      <protection locked="0"/>
    </xf>
    <xf numFmtId="0" fontId="28" fillId="0" borderId="56" xfId="52" applyFont="1" applyBorder="1" applyProtection="1">
      <alignment/>
      <protection locked="0"/>
    </xf>
    <xf numFmtId="0" fontId="15" fillId="19" borderId="56" xfId="52" applyFill="1" applyBorder="1" applyAlignment="1" applyProtection="1">
      <alignment horizontal="left" vertical="center"/>
      <protection locked="0"/>
    </xf>
    <xf numFmtId="0" fontId="15" fillId="0" borderId="0" xfId="52" applyBorder="1" applyAlignment="1" applyProtection="1">
      <alignment horizontal="left" vertical="center"/>
      <protection locked="0"/>
    </xf>
    <xf numFmtId="0" fontId="15" fillId="19" borderId="55" xfId="52" applyFill="1" applyBorder="1" applyAlignment="1" applyProtection="1">
      <alignment horizontal="left" vertical="center"/>
      <protection locked="0"/>
    </xf>
    <xf numFmtId="175" fontId="15" fillId="2" borderId="33" xfId="52" applyNumberFormat="1" applyFont="1" applyFill="1" applyBorder="1" applyAlignment="1" applyProtection="1" quotePrefix="1">
      <alignment horizontal="right" vertical="center"/>
      <protection locked="0"/>
    </xf>
    <xf numFmtId="177" fontId="15" fillId="19" borderId="57" xfId="52" applyNumberFormat="1" applyFont="1" applyFill="1" applyBorder="1" applyAlignment="1" applyProtection="1">
      <alignment vertical="center"/>
      <protection locked="0"/>
    </xf>
    <xf numFmtId="0" fontId="15" fillId="19" borderId="0" xfId="52" applyFont="1" applyFill="1" applyAlignment="1" applyProtection="1">
      <alignment vertical="center"/>
      <protection locked="0"/>
    </xf>
    <xf numFmtId="175" fontId="15" fillId="19" borderId="0" xfId="52" applyNumberFormat="1" applyFont="1" applyFill="1" applyAlignment="1" applyProtection="1">
      <alignment vertical="center"/>
      <protection locked="0"/>
    </xf>
    <xf numFmtId="175" fontId="0" fillId="2" borderId="0" xfId="52" applyNumberFormat="1" applyFont="1" applyFill="1" applyBorder="1" applyAlignment="1" applyProtection="1">
      <alignment vertical="center"/>
      <protection locked="0"/>
    </xf>
    <xf numFmtId="177" fontId="0" fillId="19" borderId="16" xfId="52" applyNumberFormat="1" applyFont="1" applyFill="1" applyBorder="1" applyAlignment="1" applyProtection="1">
      <alignment vertical="center"/>
      <protection locked="0"/>
    </xf>
    <xf numFmtId="175" fontId="15" fillId="19" borderId="0" xfId="52" applyNumberFormat="1" applyFont="1" applyFill="1" applyBorder="1" applyAlignment="1" applyProtection="1">
      <alignment vertical="center"/>
      <protection locked="0"/>
    </xf>
    <xf numFmtId="175" fontId="0" fillId="2" borderId="0" xfId="52" applyNumberFormat="1" applyFont="1" applyFill="1" applyAlignment="1" applyProtection="1">
      <alignment vertical="center"/>
      <protection locked="0"/>
    </xf>
    <xf numFmtId="175" fontId="0" fillId="19" borderId="0" xfId="52" applyNumberFormat="1" applyFont="1" applyFill="1" applyBorder="1" applyAlignment="1" applyProtection="1">
      <alignment vertical="center"/>
      <protection locked="0"/>
    </xf>
    <xf numFmtId="0" fontId="0" fillId="2" borderId="0" xfId="52" applyFont="1" applyFill="1" applyAlignment="1" applyProtection="1">
      <alignment vertical="center"/>
      <protection locked="0"/>
    </xf>
    <xf numFmtId="10" fontId="0" fillId="10" borderId="0" xfId="52" applyNumberFormat="1" applyFont="1" applyFill="1" applyBorder="1" applyAlignment="1" applyProtection="1">
      <alignment horizontal="right" vertical="center"/>
      <protection locked="0"/>
    </xf>
    <xf numFmtId="0" fontId="15" fillId="2" borderId="0" xfId="52" applyFont="1" applyFill="1" applyBorder="1" applyAlignment="1" applyProtection="1">
      <alignment horizontal="left" vertical="center"/>
      <protection locked="0"/>
    </xf>
    <xf numFmtId="0" fontId="15" fillId="2" borderId="32" xfId="52" applyFill="1" applyBorder="1" applyAlignment="1" applyProtection="1">
      <alignment horizontal="center" vertical="center"/>
      <protection locked="0"/>
    </xf>
    <xf numFmtId="0" fontId="15" fillId="2" borderId="28" xfId="52" applyFill="1" applyBorder="1" applyAlignment="1" applyProtection="1">
      <alignment horizontal="center" vertical="center"/>
      <protection locked="0"/>
    </xf>
    <xf numFmtId="10" fontId="52" fillId="19" borderId="0" xfId="52" applyNumberFormat="1" applyFont="1" applyFill="1" applyBorder="1" applyAlignment="1" applyProtection="1">
      <alignment horizontal="right" vertical="center"/>
      <protection locked="0"/>
    </xf>
    <xf numFmtId="0" fontId="0" fillId="0" borderId="0" xfId="52" applyFont="1" applyBorder="1" applyAlignment="1" applyProtection="1">
      <alignment vertical="center"/>
      <protection locked="0"/>
    </xf>
    <xf numFmtId="9" fontId="15" fillId="19" borderId="36" xfId="52" applyNumberFormat="1" applyFont="1" applyFill="1" applyBorder="1" applyAlignment="1" applyProtection="1">
      <alignment vertical="center"/>
      <protection locked="0"/>
    </xf>
    <xf numFmtId="0" fontId="0" fillId="10" borderId="40" xfId="52" applyFont="1" applyFill="1" applyBorder="1" applyAlignment="1" applyProtection="1">
      <alignment horizontal="center" vertical="center"/>
      <protection locked="0"/>
    </xf>
    <xf numFmtId="0" fontId="1" fillId="10" borderId="32" xfId="52" applyFont="1" applyFill="1" applyBorder="1" applyAlignment="1" applyProtection="1">
      <alignment horizontal="center" vertical="center"/>
      <protection locked="0"/>
    </xf>
    <xf numFmtId="0" fontId="15" fillId="2" borderId="0" xfId="52" applyFont="1" applyFill="1" applyAlignment="1" applyProtection="1">
      <alignment vertical="center"/>
      <protection locked="0"/>
    </xf>
    <xf numFmtId="0" fontId="0" fillId="2" borderId="0" xfId="52" applyFont="1" applyFill="1" applyBorder="1" applyAlignment="1" applyProtection="1">
      <alignment vertical="center"/>
      <protection locked="0"/>
    </xf>
    <xf numFmtId="175" fontId="15" fillId="19" borderId="40" xfId="52" applyNumberFormat="1" applyFill="1" applyBorder="1" applyAlignment="1" applyProtection="1">
      <alignment vertical="center"/>
      <protection locked="0"/>
    </xf>
    <xf numFmtId="0" fontId="15" fillId="19" borderId="58" xfId="52" applyFill="1" applyBorder="1" applyAlignment="1" applyProtection="1">
      <alignment vertical="center"/>
      <protection locked="0"/>
    </xf>
    <xf numFmtId="0" fontId="0" fillId="2" borderId="16" xfId="52" applyFont="1" applyFill="1" applyBorder="1" applyAlignment="1" applyProtection="1">
      <alignment vertical="center"/>
      <protection locked="0"/>
    </xf>
    <xf numFmtId="175" fontId="34" fillId="19" borderId="0" xfId="52" applyNumberFormat="1" applyFont="1" applyFill="1" applyBorder="1" applyAlignment="1" applyProtection="1">
      <alignment vertical="center"/>
      <protection locked="0"/>
    </xf>
    <xf numFmtId="0" fontId="15" fillId="19" borderId="0" xfId="52" applyFill="1" applyBorder="1" applyAlignment="1" applyProtection="1">
      <alignment vertical="center"/>
      <protection locked="0"/>
    </xf>
    <xf numFmtId="0" fontId="15" fillId="19" borderId="15" xfId="52" applyFill="1" applyBorder="1" applyAlignment="1" applyProtection="1">
      <alignment vertical="center"/>
      <protection locked="0"/>
    </xf>
    <xf numFmtId="177" fontId="15" fillId="19" borderId="16" xfId="52" applyNumberFormat="1" applyFont="1" applyFill="1" applyBorder="1" applyAlignment="1" applyProtection="1">
      <alignment vertical="center"/>
      <protection locked="0"/>
    </xf>
    <xf numFmtId="175" fontId="30" fillId="19" borderId="0" xfId="52" applyNumberFormat="1" applyFont="1" applyFill="1" applyAlignment="1" applyProtection="1">
      <alignment vertical="center"/>
      <protection locked="0"/>
    </xf>
    <xf numFmtId="0" fontId="15" fillId="19" borderId="16" xfId="52" applyFont="1" applyFill="1" applyBorder="1" applyAlignment="1" applyProtection="1">
      <alignment vertical="center"/>
      <protection locked="0"/>
    </xf>
    <xf numFmtId="175" fontId="15" fillId="19" borderId="0" xfId="52" applyNumberFormat="1" applyFill="1" applyBorder="1" applyAlignment="1" applyProtection="1">
      <alignment vertical="center"/>
      <protection locked="0"/>
    </xf>
    <xf numFmtId="0" fontId="15" fillId="19" borderId="0" xfId="52" applyFont="1" applyFill="1" applyBorder="1" applyAlignment="1" applyProtection="1">
      <alignment vertical="center"/>
      <protection locked="0"/>
    </xf>
    <xf numFmtId="0" fontId="15" fillId="2" borderId="16" xfId="52" applyFont="1" applyFill="1" applyBorder="1" applyAlignment="1" applyProtection="1">
      <alignment vertical="center"/>
      <protection locked="0"/>
    </xf>
    <xf numFmtId="0" fontId="15" fillId="19" borderId="0" xfId="52" applyFont="1" applyFill="1" applyBorder="1" applyAlignment="1" applyProtection="1">
      <alignment vertical="center"/>
      <protection locked="0"/>
    </xf>
    <xf numFmtId="175" fontId="30" fillId="19" borderId="0" xfId="52" applyNumberFormat="1" applyFont="1" applyFill="1" applyBorder="1" applyAlignment="1" applyProtection="1">
      <alignment vertical="center"/>
      <protection locked="0"/>
    </xf>
    <xf numFmtId="0" fontId="15" fillId="19" borderId="16" xfId="52" applyFill="1" applyBorder="1" applyAlignment="1" applyProtection="1">
      <alignment vertical="center"/>
      <protection locked="0"/>
    </xf>
    <xf numFmtId="0" fontId="15" fillId="2" borderId="15" xfId="52" applyFill="1" applyBorder="1" applyAlignment="1" applyProtection="1">
      <alignment vertical="center"/>
      <protection locked="0"/>
    </xf>
    <xf numFmtId="0" fontId="34" fillId="19" borderId="16" xfId="52" applyFont="1" applyFill="1" applyBorder="1" applyAlignment="1" applyProtection="1">
      <alignment vertical="center"/>
      <protection locked="0"/>
    </xf>
    <xf numFmtId="0" fontId="0" fillId="0" borderId="0" xfId="52" applyFont="1" applyBorder="1" applyAlignment="1" applyProtection="1">
      <alignment vertical="center"/>
      <protection locked="0"/>
    </xf>
    <xf numFmtId="175" fontId="8" fillId="0" borderId="0" xfId="52" applyNumberFormat="1" applyFont="1" applyBorder="1" applyAlignment="1" applyProtection="1">
      <alignment vertical="center"/>
      <protection locked="0"/>
    </xf>
    <xf numFmtId="0" fontId="0" fillId="0" borderId="12" xfId="52" applyFont="1" applyBorder="1" applyAlignment="1" applyProtection="1">
      <alignment vertical="center"/>
      <protection locked="0"/>
    </xf>
    <xf numFmtId="175" fontId="8" fillId="0" borderId="12" xfId="52" applyNumberFormat="1" applyFont="1" applyBorder="1" applyAlignment="1" applyProtection="1">
      <alignment horizontal="right" vertical="center"/>
      <protection locked="0"/>
    </xf>
    <xf numFmtId="175" fontId="0" fillId="0" borderId="12" xfId="52" applyNumberFormat="1" applyFont="1" applyBorder="1" applyAlignment="1" applyProtection="1">
      <alignment horizontal="right" vertical="center"/>
      <protection locked="0"/>
    </xf>
    <xf numFmtId="0" fontId="0" fillId="0" borderId="12" xfId="52" applyFont="1" applyBorder="1" applyAlignment="1" applyProtection="1">
      <alignment horizontal="left" vertical="center"/>
      <protection locked="0"/>
    </xf>
    <xf numFmtId="0" fontId="15" fillId="0" borderId="0" xfId="52" applyAlignment="1" applyProtection="1">
      <alignment vertical="center"/>
      <protection locked="0"/>
    </xf>
    <xf numFmtId="0" fontId="28" fillId="0" borderId="17" xfId="52" applyFont="1" applyBorder="1" applyAlignment="1" applyProtection="1">
      <alignment vertical="center"/>
      <protection locked="0"/>
    </xf>
    <xf numFmtId="0" fontId="15" fillId="0" borderId="10" xfId="52" applyFill="1" applyBorder="1" applyAlignment="1" applyProtection="1">
      <alignment vertical="center"/>
      <protection locked="0"/>
    </xf>
    <xf numFmtId="0" fontId="15" fillId="0" borderId="14" xfId="52" applyFill="1" applyBorder="1" applyAlignment="1" applyProtection="1">
      <alignment vertical="center"/>
      <protection locked="0"/>
    </xf>
    <xf numFmtId="1" fontId="15" fillId="19" borderId="0" xfId="56" applyNumberFormat="1" applyFill="1" applyAlignment="1" applyProtection="1">
      <alignment vertical="center"/>
      <protection locked="0"/>
    </xf>
    <xf numFmtId="169" fontId="0" fillId="19" borderId="0" xfId="52" applyNumberFormat="1" applyFont="1" applyFill="1" applyAlignment="1" applyProtection="1">
      <alignment horizontal="center" vertical="center"/>
      <protection locked="0"/>
    </xf>
    <xf numFmtId="169" fontId="0" fillId="19" borderId="0" xfId="52" applyNumberFormat="1" applyFont="1" applyFill="1" applyAlignment="1" applyProtection="1">
      <alignment vertical="center"/>
      <protection locked="0"/>
    </xf>
    <xf numFmtId="0" fontId="15" fillId="0" borderId="0" xfId="52" applyAlignment="1" applyProtection="1">
      <alignment horizontal="left" vertical="center"/>
      <protection locked="0"/>
    </xf>
    <xf numFmtId="0" fontId="15" fillId="0" borderId="16" xfId="52" applyFont="1" applyFill="1" applyBorder="1" applyAlignment="1" applyProtection="1">
      <alignment horizontal="left" vertical="center"/>
      <protection locked="0"/>
    </xf>
    <xf numFmtId="0" fontId="0" fillId="0" borderId="0" xfId="52" applyFont="1" applyBorder="1" applyAlignment="1" applyProtection="1">
      <alignment horizontal="right" vertical="center"/>
      <protection locked="0"/>
    </xf>
    <xf numFmtId="0" fontId="15" fillId="0" borderId="0" xfId="52" applyBorder="1" applyAlignment="1" applyProtection="1">
      <alignment horizontal="right" vertical="center"/>
      <protection locked="0"/>
    </xf>
    <xf numFmtId="0" fontId="15" fillId="0" borderId="0" xfId="52" applyFill="1" applyBorder="1" applyAlignment="1" applyProtection="1" quotePrefix="1">
      <alignment vertical="center"/>
      <protection locked="0"/>
    </xf>
    <xf numFmtId="0" fontId="15" fillId="19" borderId="0" xfId="52" applyFill="1" applyBorder="1" applyAlignment="1" applyProtection="1">
      <alignment horizontal="right" vertical="center"/>
      <protection locked="0"/>
    </xf>
    <xf numFmtId="0" fontId="15" fillId="0" borderId="0" xfId="52" applyFill="1" applyBorder="1" applyAlignment="1" applyProtection="1">
      <alignment horizontal="right" vertical="center"/>
      <protection locked="0"/>
    </xf>
    <xf numFmtId="3" fontId="0" fillId="2" borderId="0" xfId="52" applyNumberFormat="1" applyFont="1" applyFill="1" applyBorder="1" applyAlignment="1" applyProtection="1">
      <alignment vertical="center"/>
      <protection locked="0"/>
    </xf>
    <xf numFmtId="3" fontId="15" fillId="19" borderId="0" xfId="52" applyNumberFormat="1" applyFill="1" applyBorder="1" applyAlignment="1" applyProtection="1">
      <alignment vertical="center"/>
      <protection locked="0"/>
    </xf>
    <xf numFmtId="0" fontId="30" fillId="19" borderId="0" xfId="52" applyFont="1" applyFill="1" applyBorder="1" applyAlignment="1" applyProtection="1">
      <alignment vertical="center"/>
      <protection locked="0"/>
    </xf>
    <xf numFmtId="0" fontId="0" fillId="0" borderId="0" xfId="52" applyFont="1" applyBorder="1" applyAlignment="1" applyProtection="1">
      <alignment horizontal="left" vertical="center"/>
      <protection locked="0"/>
    </xf>
    <xf numFmtId="3" fontId="15" fillId="2" borderId="0" xfId="52" applyNumberFormat="1" applyFill="1" applyBorder="1" applyAlignment="1" applyProtection="1">
      <alignment vertical="center"/>
      <protection locked="0"/>
    </xf>
    <xf numFmtId="0" fontId="34" fillId="19" borderId="16" xfId="52" applyFont="1" applyFill="1" applyBorder="1" applyProtection="1">
      <alignment/>
      <protection locked="0"/>
    </xf>
    <xf numFmtId="3" fontId="0" fillId="19" borderId="0" xfId="52" applyNumberFormat="1" applyFont="1" applyFill="1" applyBorder="1" applyAlignment="1" applyProtection="1">
      <alignment vertical="center"/>
      <protection locked="0"/>
    </xf>
    <xf numFmtId="0" fontId="0" fillId="19" borderId="0" xfId="52" applyFont="1" applyFill="1" applyBorder="1" applyAlignment="1" applyProtection="1">
      <alignment horizontal="left" vertical="center"/>
      <protection locked="0"/>
    </xf>
    <xf numFmtId="0" fontId="15" fillId="0" borderId="0" xfId="52" applyBorder="1" applyAlignment="1" applyProtection="1">
      <alignment horizontal="center" vertical="center"/>
      <protection locked="0"/>
    </xf>
    <xf numFmtId="3" fontId="15" fillId="2" borderId="0" xfId="52" applyNumberFormat="1" applyFont="1" applyFill="1" applyBorder="1" applyAlignment="1" applyProtection="1">
      <alignment vertical="center"/>
      <protection locked="0"/>
    </xf>
    <xf numFmtId="0" fontId="15" fillId="19" borderId="59" xfId="52" applyFill="1" applyBorder="1" applyAlignment="1" applyProtection="1">
      <alignment vertical="center"/>
      <protection locked="0"/>
    </xf>
    <xf numFmtId="0" fontId="15" fillId="2" borderId="0" xfId="52" applyFont="1" applyFill="1" applyAlignment="1" applyProtection="1" quotePrefix="1">
      <alignment vertical="center"/>
      <protection locked="0"/>
    </xf>
    <xf numFmtId="3" fontId="15" fillId="10" borderId="0" xfId="52" applyNumberFormat="1" applyFill="1" applyAlignment="1" applyProtection="1">
      <alignment vertical="center"/>
      <protection locked="0"/>
    </xf>
    <xf numFmtId="3" fontId="15" fillId="2" borderId="0" xfId="52" applyNumberFormat="1" applyFill="1" applyAlignment="1" applyProtection="1">
      <alignment horizontal="right" vertical="center"/>
      <protection locked="0"/>
    </xf>
    <xf numFmtId="3" fontId="28" fillId="9" borderId="60" xfId="52" applyNumberFormat="1" applyFont="1" applyFill="1" applyBorder="1" applyAlignment="1" applyProtection="1">
      <alignment horizontal="center" vertical="center"/>
      <protection locked="0"/>
    </xf>
    <xf numFmtId="0" fontId="28" fillId="0" borderId="57" xfId="52" applyFont="1" applyBorder="1" applyAlignment="1" applyProtection="1">
      <alignment horizontal="center" vertical="center"/>
      <protection locked="0"/>
    </xf>
    <xf numFmtId="0" fontId="28" fillId="0" borderId="32" xfId="52" applyFont="1" applyBorder="1" applyAlignment="1" applyProtection="1">
      <alignment horizontal="center" vertical="center"/>
      <protection locked="0"/>
    </xf>
    <xf numFmtId="3" fontId="15" fillId="9" borderId="61" xfId="52" applyNumberFormat="1" applyFill="1" applyBorder="1" applyAlignment="1" applyProtection="1">
      <alignment horizontal="center" vertical="center"/>
      <protection locked="0"/>
    </xf>
    <xf numFmtId="0" fontId="15" fillId="2" borderId="16" xfId="52" applyFill="1" applyBorder="1" applyAlignment="1" applyProtection="1">
      <alignment horizontal="center" vertical="center"/>
      <protection locked="0"/>
    </xf>
    <xf numFmtId="3" fontId="15" fillId="10" borderId="0" xfId="52" applyNumberFormat="1" applyFill="1" applyAlignment="1" applyProtection="1">
      <alignment horizontal="right" vertical="center"/>
      <protection locked="0"/>
    </xf>
    <xf numFmtId="0" fontId="15" fillId="0" borderId="25" xfId="52" applyBorder="1" applyAlignment="1" applyProtection="1">
      <alignment vertical="center"/>
      <protection locked="0"/>
    </xf>
    <xf numFmtId="0" fontId="0" fillId="2" borderId="0" xfId="52" applyFont="1" applyFill="1" applyAlignment="1" applyProtection="1">
      <alignment horizontal="center" vertical="center"/>
      <protection locked="0"/>
    </xf>
    <xf numFmtId="0" fontId="0" fillId="0" borderId="62" xfId="52" applyFont="1" applyFill="1" applyBorder="1" applyAlignment="1" applyProtection="1">
      <alignment horizontal="center" vertical="center"/>
      <protection locked="0"/>
    </xf>
    <xf numFmtId="3" fontId="15" fillId="0" borderId="16" xfId="52" applyNumberFormat="1" applyFont="1" applyFill="1" applyBorder="1" applyAlignment="1" applyProtection="1">
      <alignment horizontal="left" vertical="center"/>
      <protection locked="0"/>
    </xf>
    <xf numFmtId="0" fontId="15" fillId="2" borderId="41" xfId="52" applyFill="1" applyBorder="1" applyAlignment="1" applyProtection="1">
      <alignment horizontal="center" vertical="center"/>
      <protection locked="0"/>
    </xf>
    <xf numFmtId="0" fontId="15" fillId="0" borderId="16" xfId="52" applyBorder="1" applyAlignment="1" applyProtection="1">
      <alignment horizontal="left" vertical="center"/>
      <protection locked="0"/>
    </xf>
    <xf numFmtId="0" fontId="15" fillId="2" borderId="0" xfId="52" applyFill="1" applyAlignment="1" applyProtection="1">
      <alignment vertical="center"/>
      <protection locked="0"/>
    </xf>
    <xf numFmtId="0" fontId="15" fillId="2" borderId="25" xfId="52" applyFill="1" applyBorder="1" applyAlignment="1" applyProtection="1">
      <alignment horizontal="left" vertical="center"/>
      <protection locked="0"/>
    </xf>
    <xf numFmtId="0" fontId="0" fillId="2" borderId="0" xfId="52" applyFont="1" applyFill="1" applyBorder="1" applyAlignment="1" applyProtection="1">
      <alignment horizontal="center" vertical="center"/>
      <protection locked="0"/>
    </xf>
    <xf numFmtId="0" fontId="34" fillId="0" borderId="16" xfId="52" applyFont="1" applyFill="1" applyBorder="1" applyAlignment="1" applyProtection="1">
      <alignment horizontal="left" vertical="center"/>
      <protection locked="0"/>
    </xf>
    <xf numFmtId="0" fontId="15" fillId="2" borderId="63" xfId="52" applyFill="1" applyBorder="1" applyAlignment="1" applyProtection="1">
      <alignment horizontal="left" vertical="center"/>
      <protection locked="0"/>
    </xf>
    <xf numFmtId="0" fontId="15" fillId="2" borderId="38" xfId="52" applyFill="1" applyBorder="1" applyAlignment="1" applyProtection="1">
      <alignment horizontal="center" vertical="center"/>
      <protection locked="0"/>
    </xf>
    <xf numFmtId="0" fontId="15" fillId="2" borderId="64" xfId="52" applyFill="1" applyBorder="1" applyAlignment="1" applyProtection="1">
      <alignment horizontal="center" vertical="center"/>
      <protection locked="0"/>
    </xf>
    <xf numFmtId="177" fontId="15" fillId="2" borderId="0" xfId="52" applyNumberFormat="1" applyFont="1" applyFill="1" applyAlignment="1" applyProtection="1" quotePrefix="1">
      <alignment vertical="center"/>
      <protection locked="0"/>
    </xf>
    <xf numFmtId="3" fontId="15" fillId="10" borderId="0" xfId="52" applyNumberFormat="1" applyFont="1" applyFill="1" applyAlignment="1" applyProtection="1">
      <alignment horizontal="right" vertical="center"/>
      <protection locked="0"/>
    </xf>
    <xf numFmtId="0" fontId="28" fillId="2" borderId="28" xfId="52" applyFont="1" applyFill="1" applyBorder="1" applyAlignment="1" applyProtection="1">
      <alignment horizontal="center" vertical="center"/>
      <protection locked="0"/>
    </xf>
    <xf numFmtId="0" fontId="15" fillId="2" borderId="0" xfId="52" applyFont="1" applyFill="1" applyAlignment="1" applyProtection="1">
      <alignment vertical="center"/>
      <protection locked="0"/>
    </xf>
    <xf numFmtId="0" fontId="15" fillId="2" borderId="41" xfId="52" applyFont="1" applyFill="1" applyBorder="1" applyAlignment="1" applyProtection="1">
      <alignment horizontal="center" vertical="center"/>
      <protection locked="0"/>
    </xf>
    <xf numFmtId="0" fontId="53" fillId="2" borderId="25" xfId="52" applyFont="1" applyFill="1" applyBorder="1" applyAlignment="1" applyProtection="1">
      <alignment horizontal="left" vertical="center"/>
      <protection locked="0"/>
    </xf>
    <xf numFmtId="0" fontId="30" fillId="2" borderId="25" xfId="52" applyFont="1" applyFill="1" applyBorder="1" applyAlignment="1" applyProtection="1">
      <alignment horizontal="left" vertical="center"/>
      <protection locked="0"/>
    </xf>
    <xf numFmtId="0" fontId="30" fillId="2" borderId="63" xfId="52" applyFont="1" applyFill="1" applyBorder="1" applyAlignment="1" applyProtection="1">
      <alignment horizontal="left" vertical="center"/>
      <protection locked="0"/>
    </xf>
    <xf numFmtId="0" fontId="0" fillId="2" borderId="38" xfId="52" applyFont="1" applyFill="1" applyBorder="1" applyAlignment="1" applyProtection="1">
      <alignment horizontal="center" vertical="center"/>
      <protection locked="0"/>
    </xf>
    <xf numFmtId="0" fontId="15" fillId="0" borderId="16" xfId="52" applyFont="1" applyFill="1" applyBorder="1" applyAlignment="1" applyProtection="1">
      <alignment vertical="center"/>
      <protection locked="0"/>
    </xf>
    <xf numFmtId="0" fontId="15" fillId="0" borderId="16" xfId="52" applyFont="1" applyFill="1" applyBorder="1" applyAlignment="1" applyProtection="1">
      <alignment horizontal="center" vertical="center"/>
      <protection locked="0"/>
    </xf>
    <xf numFmtId="3" fontId="15" fillId="10" borderId="0" xfId="56" applyNumberFormat="1" applyFill="1" applyAlignment="1" applyProtection="1">
      <alignment horizontal="right" vertical="center"/>
      <protection locked="0"/>
    </xf>
    <xf numFmtId="3" fontId="60" fillId="9" borderId="60" xfId="52" applyNumberFormat="1" applyFont="1" applyFill="1" applyBorder="1" applyAlignment="1" applyProtection="1">
      <alignment horizontal="center" vertical="center"/>
      <protection locked="0"/>
    </xf>
    <xf numFmtId="175" fontId="15" fillId="2" borderId="0" xfId="52" applyNumberFormat="1" applyFill="1" applyAlignment="1" applyProtection="1">
      <alignment horizontal="left" vertical="center"/>
      <protection locked="0"/>
    </xf>
    <xf numFmtId="175" fontId="15" fillId="19" borderId="0" xfId="52" applyNumberFormat="1" applyFill="1" applyAlignment="1" applyProtection="1">
      <alignment horizontal="right" vertical="center"/>
      <protection locked="0"/>
    </xf>
    <xf numFmtId="4" fontId="15" fillId="0" borderId="0" xfId="52" applyNumberFormat="1" applyFill="1" applyBorder="1" applyAlignment="1" applyProtection="1">
      <alignment horizontal="right" vertical="center"/>
      <protection locked="0"/>
    </xf>
    <xf numFmtId="175" fontId="15" fillId="19" borderId="0" xfId="52" applyNumberFormat="1" applyFill="1" applyBorder="1" applyAlignment="1" applyProtection="1">
      <alignment horizontal="right" vertical="center"/>
      <protection locked="0"/>
    </xf>
    <xf numFmtId="175" fontId="15" fillId="19" borderId="12" xfId="52" applyNumberFormat="1" applyFill="1" applyBorder="1" applyAlignment="1" applyProtection="1">
      <alignment horizontal="right" vertical="center"/>
      <protection locked="0"/>
    </xf>
    <xf numFmtId="0" fontId="28" fillId="0" borderId="0" xfId="52" applyFont="1" applyProtection="1">
      <alignment/>
      <protection locked="0"/>
    </xf>
    <xf numFmtId="3" fontId="28" fillId="0" borderId="0" xfId="52" applyNumberFormat="1" applyFont="1" applyAlignment="1" applyProtection="1">
      <alignment horizontal="right"/>
      <protection locked="0"/>
    </xf>
    <xf numFmtId="0" fontId="28" fillId="0" borderId="0" xfId="52" applyFont="1" applyAlignment="1" applyProtection="1">
      <alignment horizontal="left"/>
      <protection locked="0"/>
    </xf>
    <xf numFmtId="175" fontId="28" fillId="0" borderId="0" xfId="52" applyNumberFormat="1" applyFont="1" applyAlignment="1" applyProtection="1">
      <alignment horizontal="right"/>
      <protection locked="0"/>
    </xf>
    <xf numFmtId="0" fontId="28" fillId="10" borderId="19" xfId="52" applyFont="1" applyFill="1" applyBorder="1" applyAlignment="1" applyProtection="1">
      <alignment horizontal="left"/>
      <protection locked="0"/>
    </xf>
    <xf numFmtId="0" fontId="28" fillId="10" borderId="11" xfId="52" applyFont="1" applyFill="1" applyBorder="1" applyAlignment="1" applyProtection="1">
      <alignment horizontal="center"/>
      <protection locked="0"/>
    </xf>
    <xf numFmtId="0" fontId="28" fillId="10" borderId="13" xfId="52" applyFont="1" applyFill="1" applyBorder="1" applyAlignment="1" applyProtection="1">
      <alignment horizontal="center"/>
      <protection locked="0"/>
    </xf>
    <xf numFmtId="0" fontId="15" fillId="10" borderId="0" xfId="52" applyFill="1" applyProtection="1">
      <alignment/>
      <protection locked="0"/>
    </xf>
    <xf numFmtId="0" fontId="15" fillId="10" borderId="15" xfId="52" applyFill="1" applyBorder="1" applyProtection="1">
      <alignment/>
      <protection locked="0"/>
    </xf>
    <xf numFmtId="0" fontId="15" fillId="10" borderId="65" xfId="52" applyFill="1" applyBorder="1" applyProtection="1">
      <alignment/>
      <protection locked="0"/>
    </xf>
    <xf numFmtId="0" fontId="15" fillId="10" borderId="14" xfId="52" applyFill="1" applyBorder="1" applyProtection="1">
      <alignment/>
      <protection locked="0"/>
    </xf>
    <xf numFmtId="0" fontId="15" fillId="10" borderId="12" xfId="52" applyFill="1" applyBorder="1" applyProtection="1">
      <alignment/>
      <protection locked="0"/>
    </xf>
    <xf numFmtId="0" fontId="15" fillId="10" borderId="20" xfId="52" applyFill="1" applyBorder="1" applyProtection="1">
      <alignment/>
      <protection locked="0"/>
    </xf>
    <xf numFmtId="0" fontId="15" fillId="10" borderId="11" xfId="52" applyFill="1" applyBorder="1" applyProtection="1">
      <alignment/>
      <protection locked="0"/>
    </xf>
    <xf numFmtId="0" fontId="15" fillId="10" borderId="66" xfId="52" applyFill="1" applyBorder="1" applyProtection="1">
      <alignment/>
      <protection locked="0"/>
    </xf>
    <xf numFmtId="0" fontId="15" fillId="10" borderId="67" xfId="52" applyFill="1" applyBorder="1" applyProtection="1">
      <alignment/>
      <protection locked="0"/>
    </xf>
    <xf numFmtId="0" fontId="15" fillId="10" borderId="68" xfId="52" applyFill="1" applyBorder="1" applyProtection="1">
      <alignment/>
      <protection locked="0"/>
    </xf>
    <xf numFmtId="0" fontId="15" fillId="10" borderId="0" xfId="52" applyFill="1" applyBorder="1" applyProtection="1">
      <alignment/>
      <protection locked="0"/>
    </xf>
    <xf numFmtId="0" fontId="28" fillId="10" borderId="69" xfId="52" applyFont="1" applyFill="1" applyBorder="1" applyAlignment="1" applyProtection="1">
      <alignment horizontal="center"/>
      <protection locked="0"/>
    </xf>
    <xf numFmtId="0" fontId="56" fillId="20" borderId="58" xfId="0" applyFont="1" applyFill="1" applyBorder="1" applyAlignment="1" applyProtection="1">
      <alignment horizontal="center"/>
      <protection locked="0"/>
    </xf>
    <xf numFmtId="0" fontId="56" fillId="20" borderId="24" xfId="0" applyFont="1" applyFill="1" applyBorder="1" applyAlignment="1" applyProtection="1">
      <alignment horizontal="center"/>
      <protection locked="0"/>
    </xf>
    <xf numFmtId="49" fontId="0" fillId="10" borderId="39" xfId="47" applyNumberFormat="1" applyFont="1" applyFill="1" applyBorder="1" applyAlignment="1" applyProtection="1">
      <alignment horizontal="center"/>
      <protection locked="0"/>
    </xf>
    <xf numFmtId="175" fontId="56" fillId="10" borderId="49" xfId="0" applyNumberFormat="1" applyFont="1" applyFill="1" applyBorder="1" applyAlignment="1" applyProtection="1">
      <alignment horizontal="right"/>
      <protection locked="0"/>
    </xf>
    <xf numFmtId="0" fontId="0" fillId="0" borderId="0" xfId="52" applyFont="1" applyBorder="1" applyAlignment="1" applyProtection="1">
      <alignment vertical="center"/>
      <protection/>
    </xf>
    <xf numFmtId="0" fontId="15" fillId="0" borderId="0" xfId="52" applyBorder="1" applyAlignment="1" applyProtection="1">
      <alignment vertical="center"/>
      <protection/>
    </xf>
    <xf numFmtId="0" fontId="15" fillId="0" borderId="25" xfId="52" applyFont="1" applyBorder="1" applyAlignment="1" applyProtection="1">
      <alignment vertical="center"/>
      <protection hidden="1" locked="0"/>
    </xf>
    <xf numFmtId="0" fontId="28" fillId="0" borderId="25" xfId="52" applyFont="1" applyBorder="1" applyAlignment="1" applyProtection="1">
      <alignment vertical="center"/>
      <protection hidden="1" locked="0"/>
    </xf>
    <xf numFmtId="0" fontId="54" fillId="0" borderId="0" xfId="52" applyFont="1" applyBorder="1" applyAlignment="1" applyProtection="1">
      <alignment horizontal="left" vertical="center"/>
      <protection hidden="1" locked="0"/>
    </xf>
    <xf numFmtId="0" fontId="33" fillId="7" borderId="19" xfId="52" applyFont="1" applyFill="1" applyBorder="1" applyAlignment="1" applyProtection="1">
      <alignment horizontal="left" vertical="center"/>
      <protection locked="0"/>
    </xf>
    <xf numFmtId="0" fontId="15" fillId="7" borderId="11" xfId="52" applyFont="1" applyFill="1" applyBorder="1" applyAlignment="1" applyProtection="1">
      <alignment horizontal="left" vertical="center"/>
      <protection locked="0"/>
    </xf>
    <xf numFmtId="0" fontId="68" fillId="0" borderId="0" xfId="52" applyFont="1" applyFill="1" applyBorder="1" applyProtection="1">
      <alignment/>
      <protection hidden="1" locked="0"/>
    </xf>
    <xf numFmtId="0" fontId="69" fillId="0" borderId="0" xfId="52" applyFont="1" applyFill="1" applyBorder="1" applyProtection="1">
      <alignment/>
      <protection hidden="1" locked="0"/>
    </xf>
    <xf numFmtId="0" fontId="68" fillId="0" borderId="0" xfId="52" applyFont="1" applyFill="1" applyBorder="1" applyAlignment="1" applyProtection="1">
      <alignment horizontal="center"/>
      <protection hidden="1" locked="0"/>
    </xf>
    <xf numFmtId="0" fontId="70" fillId="0" borderId="0" xfId="52" applyFont="1" applyFill="1" applyBorder="1" applyAlignment="1" applyProtection="1">
      <alignment horizontal="center"/>
      <protection hidden="1" locked="0"/>
    </xf>
    <xf numFmtId="0" fontId="68" fillId="0" borderId="0" xfId="52" applyFont="1" applyFill="1" applyBorder="1" applyAlignment="1" applyProtection="1">
      <alignment horizontal="right"/>
      <protection hidden="1" locked="0"/>
    </xf>
    <xf numFmtId="0" fontId="68" fillId="0" borderId="0" xfId="52" applyFont="1" applyFill="1" applyBorder="1" applyAlignment="1" applyProtection="1">
      <alignment horizontal="left"/>
      <protection hidden="1" locked="0"/>
    </xf>
    <xf numFmtId="0" fontId="68" fillId="0" borderId="0" xfId="52" applyFont="1" applyFill="1" applyBorder="1">
      <alignment/>
      <protection/>
    </xf>
    <xf numFmtId="2" fontId="0" fillId="0" borderId="66" xfId="52" applyNumberFormat="1" applyFont="1" applyBorder="1" applyAlignment="1" applyProtection="1">
      <alignment horizontal="left" vertical="center"/>
      <protection hidden="1"/>
    </xf>
    <xf numFmtId="0" fontId="28" fillId="0" borderId="19" xfId="52" applyFont="1" applyBorder="1" applyAlignment="1" applyProtection="1">
      <alignment vertical="center"/>
      <protection hidden="1"/>
    </xf>
    <xf numFmtId="0" fontId="15" fillId="0" borderId="50" xfId="52" applyBorder="1" applyAlignment="1" applyProtection="1">
      <alignment vertical="center"/>
      <protection hidden="1"/>
    </xf>
    <xf numFmtId="0" fontId="0" fillId="0" borderId="49" xfId="52" applyFont="1" applyFill="1" applyBorder="1" applyAlignment="1" applyProtection="1">
      <alignment horizontal="center" vertical="center"/>
      <protection hidden="1"/>
    </xf>
    <xf numFmtId="0" fontId="1" fillId="0" borderId="70" xfId="52" applyFont="1" applyBorder="1" applyAlignment="1" applyProtection="1">
      <alignment horizontal="left" vertical="center"/>
      <protection hidden="1"/>
    </xf>
    <xf numFmtId="0" fontId="1" fillId="0" borderId="50" xfId="52" applyFont="1" applyFill="1" applyBorder="1" applyAlignment="1" applyProtection="1">
      <alignment horizontal="center" vertical="center"/>
      <protection hidden="1"/>
    </xf>
    <xf numFmtId="0" fontId="0" fillId="0" borderId="50" xfId="52" applyFont="1" applyFill="1" applyBorder="1" applyAlignment="1" applyProtection="1">
      <alignment horizontal="left" vertical="center"/>
      <protection hidden="1"/>
    </xf>
    <xf numFmtId="0" fontId="15" fillId="0" borderId="0" xfId="52" applyFont="1" applyBorder="1" applyAlignment="1" applyProtection="1">
      <alignment horizontal="center" vertical="center"/>
      <protection hidden="1"/>
    </xf>
    <xf numFmtId="175" fontId="0" fillId="0" borderId="68" xfId="52" applyNumberFormat="1" applyFont="1" applyBorder="1" applyAlignment="1" applyProtection="1">
      <alignment horizontal="left" vertical="center"/>
      <protection hidden="1"/>
    </xf>
    <xf numFmtId="175" fontId="0" fillId="0" borderId="66" xfId="52" applyNumberFormat="1" applyFont="1" applyBorder="1" applyAlignment="1" applyProtection="1">
      <alignment horizontal="left" vertical="center"/>
      <protection hidden="1"/>
    </xf>
    <xf numFmtId="2" fontId="0" fillId="7" borderId="68" xfId="66" applyNumberFormat="1" applyFont="1" applyBorder="1" applyAlignment="1" applyProtection="1">
      <alignment horizontal="left" vertical="center"/>
      <protection hidden="1"/>
    </xf>
    <xf numFmtId="2" fontId="0" fillId="7" borderId="66" xfId="66" applyNumberFormat="1" applyFont="1" applyBorder="1" applyAlignment="1" applyProtection="1">
      <alignment horizontal="left" vertical="center"/>
      <protection hidden="1"/>
    </xf>
    <xf numFmtId="2" fontId="0" fillId="0" borderId="0" xfId="52" applyNumberFormat="1" applyFont="1" applyBorder="1" applyAlignment="1" applyProtection="1">
      <alignment horizontal="left" vertical="center"/>
      <protection hidden="1"/>
    </xf>
    <xf numFmtId="2" fontId="0" fillId="7" borderId="0" xfId="66" applyNumberFormat="1" applyFont="1" applyBorder="1" applyAlignment="1" applyProtection="1">
      <alignment horizontal="left" vertical="center"/>
      <protection hidden="1"/>
    </xf>
    <xf numFmtId="2" fontId="15" fillId="0" borderId="0" xfId="52" applyNumberFormat="1" applyFont="1" applyBorder="1" applyAlignment="1" applyProtection="1">
      <alignment horizontal="left" vertical="center"/>
      <protection hidden="1"/>
    </xf>
    <xf numFmtId="2" fontId="15" fillId="0" borderId="52" xfId="52" applyNumberFormat="1" applyFont="1" applyBorder="1" applyAlignment="1" applyProtection="1">
      <alignment horizontal="left" vertical="center"/>
      <protection hidden="1"/>
    </xf>
    <xf numFmtId="175" fontId="15" fillId="0" borderId="54" xfId="52" applyNumberFormat="1" applyFont="1" applyBorder="1" applyAlignment="1" applyProtection="1">
      <alignment horizontal="left" vertical="center"/>
      <protection hidden="1"/>
    </xf>
    <xf numFmtId="175" fontId="15" fillId="0" borderId="0" xfId="52" applyNumberFormat="1" applyFont="1" applyBorder="1" applyAlignment="1" applyProtection="1">
      <alignment horizontal="left" vertical="center"/>
      <protection hidden="1"/>
    </xf>
    <xf numFmtId="175" fontId="35" fillId="0" borderId="52" xfId="52" applyNumberFormat="1" applyFont="1" applyBorder="1" applyAlignment="1" applyProtection="1">
      <alignment horizontal="left" vertical="center"/>
      <protection hidden="1"/>
    </xf>
    <xf numFmtId="175" fontId="35" fillId="0" borderId="54" xfId="52" applyNumberFormat="1" applyFont="1" applyBorder="1" applyAlignment="1" applyProtection="1">
      <alignment horizontal="left" vertical="center"/>
      <protection hidden="1"/>
    </xf>
    <xf numFmtId="175" fontId="35" fillId="0" borderId="0" xfId="52" applyNumberFormat="1" applyFont="1" applyBorder="1" applyAlignment="1" applyProtection="1">
      <alignment horizontal="left" vertical="center"/>
      <protection hidden="1"/>
    </xf>
    <xf numFmtId="175" fontId="35" fillId="0" borderId="52" xfId="52" applyNumberFormat="1" applyFont="1" applyBorder="1" applyAlignment="1" applyProtection="1">
      <alignment horizontal="left" vertical="center"/>
      <protection hidden="1"/>
    </xf>
    <xf numFmtId="0" fontId="15" fillId="0" borderId="0" xfId="52" applyFont="1" applyAlignment="1" applyProtection="1">
      <alignment horizontal="left" vertical="center"/>
      <protection hidden="1"/>
    </xf>
    <xf numFmtId="0" fontId="15" fillId="0" borderId="0" xfId="52" applyFont="1" applyBorder="1" applyAlignment="1" applyProtection="1">
      <alignment horizontal="left" vertical="center"/>
      <protection hidden="1"/>
    </xf>
    <xf numFmtId="0" fontId="15" fillId="0" borderId="40" xfId="52" applyBorder="1" applyAlignment="1" applyProtection="1">
      <alignment vertical="center"/>
      <protection hidden="1"/>
    </xf>
    <xf numFmtId="0" fontId="8" fillId="0" borderId="32" xfId="52" applyFont="1" applyBorder="1" applyAlignment="1" applyProtection="1">
      <alignment horizontal="center" vertical="center"/>
      <protection hidden="1"/>
    </xf>
    <xf numFmtId="0" fontId="15" fillId="0" borderId="0" xfId="52" applyBorder="1" applyAlignment="1" applyProtection="1">
      <alignment horizontal="left" vertical="center"/>
      <protection hidden="1"/>
    </xf>
    <xf numFmtId="0" fontId="15" fillId="0" borderId="0" xfId="52" applyBorder="1" applyAlignment="1" applyProtection="1">
      <alignment vertical="center"/>
      <protection hidden="1"/>
    </xf>
    <xf numFmtId="0" fontId="15" fillId="0" borderId="0" xfId="52" applyFont="1" applyBorder="1" applyAlignment="1" applyProtection="1">
      <alignment vertical="center"/>
      <protection hidden="1"/>
    </xf>
    <xf numFmtId="0" fontId="15" fillId="0" borderId="38" xfId="52" applyFont="1" applyBorder="1" applyAlignment="1" applyProtection="1">
      <alignment vertical="center"/>
      <protection hidden="1"/>
    </xf>
    <xf numFmtId="0" fontId="15" fillId="0" borderId="33" xfId="52" applyBorder="1" applyProtection="1">
      <alignment/>
      <protection hidden="1"/>
    </xf>
    <xf numFmtId="0" fontId="28" fillId="0" borderId="27" xfId="52" applyFont="1" applyFill="1" applyBorder="1" applyAlignment="1" applyProtection="1">
      <alignment horizontal="center" vertical="center"/>
      <protection hidden="1"/>
    </xf>
    <xf numFmtId="0" fontId="15" fillId="0" borderId="66" xfId="52" applyFont="1" applyBorder="1" applyProtection="1">
      <alignment/>
      <protection hidden="1"/>
    </xf>
    <xf numFmtId="0" fontId="15" fillId="0" borderId="71" xfId="52" applyFill="1" applyBorder="1" applyAlignment="1" applyProtection="1">
      <alignment vertical="center"/>
      <protection hidden="1"/>
    </xf>
    <xf numFmtId="0" fontId="15" fillId="0" borderId="0" xfId="52" applyAlignment="1" applyProtection="1">
      <alignment horizontal="center" vertical="center"/>
      <protection hidden="1"/>
    </xf>
    <xf numFmtId="0" fontId="15" fillId="0" borderId="10" xfId="52" applyFont="1" applyBorder="1" applyAlignment="1" applyProtection="1">
      <alignment horizontal="left" vertical="center"/>
      <protection hidden="1"/>
    </xf>
    <xf numFmtId="0" fontId="15" fillId="0" borderId="10" xfId="52" applyBorder="1" applyAlignment="1" applyProtection="1">
      <alignment horizontal="center" vertical="center"/>
      <protection hidden="1"/>
    </xf>
    <xf numFmtId="0" fontId="15" fillId="0" borderId="12" xfId="52" applyBorder="1" applyAlignment="1" applyProtection="1">
      <alignment horizontal="left" vertical="center"/>
      <protection hidden="1"/>
    </xf>
    <xf numFmtId="3" fontId="15" fillId="0" borderId="0" xfId="52" applyNumberFormat="1" applyFont="1" applyAlignment="1" applyProtection="1">
      <alignment horizontal="center" vertical="center"/>
      <protection hidden="1"/>
    </xf>
    <xf numFmtId="0" fontId="15" fillId="0" borderId="0" xfId="52" applyAlignment="1" applyProtection="1">
      <alignment horizontal="left" vertical="center"/>
      <protection hidden="1"/>
    </xf>
    <xf numFmtId="49" fontId="15" fillId="0" borderId="16" xfId="52" applyNumberFormat="1" applyBorder="1" applyAlignment="1">
      <alignment horizontal="center"/>
      <protection/>
    </xf>
    <xf numFmtId="49" fontId="15" fillId="0" borderId="18" xfId="52" applyNumberFormat="1" applyBorder="1" applyAlignment="1">
      <alignment horizontal="center"/>
      <protection/>
    </xf>
    <xf numFmtId="0" fontId="30" fillId="0" borderId="0" xfId="52" applyFont="1" applyAlignment="1" applyProtection="1">
      <alignment horizontal="center" vertical="center"/>
      <protection hidden="1"/>
    </xf>
    <xf numFmtId="2" fontId="0" fillId="0" borderId="15" xfId="52" applyNumberFormat="1" applyFont="1" applyFill="1" applyBorder="1">
      <alignment/>
      <protection/>
    </xf>
    <xf numFmtId="0" fontId="71" fillId="7" borderId="11" xfId="66" applyFont="1" applyBorder="1" applyAlignment="1" applyProtection="1">
      <alignment horizontal="right"/>
      <protection locked="0"/>
    </xf>
    <xf numFmtId="0" fontId="32" fillId="0" borderId="10" xfId="52" applyFont="1" applyBorder="1" applyAlignment="1" applyProtection="1">
      <alignment horizontal="left" vertical="center"/>
      <protection/>
    </xf>
    <xf numFmtId="0" fontId="15" fillId="0" borderId="16" xfId="52" applyBorder="1" applyAlignment="1" applyProtection="1">
      <alignment vertical="center"/>
      <protection/>
    </xf>
    <xf numFmtId="2" fontId="0" fillId="0" borderId="0" xfId="52" applyNumberFormat="1" applyFont="1" applyBorder="1" applyAlignment="1" applyProtection="1">
      <alignment vertical="center"/>
      <protection/>
    </xf>
    <xf numFmtId="3" fontId="35" fillId="0" borderId="0" xfId="52" applyNumberFormat="1" applyFont="1" applyBorder="1" applyAlignment="1" applyProtection="1">
      <alignment horizontal="right" vertical="center"/>
      <protection/>
    </xf>
    <xf numFmtId="2" fontId="0" fillId="7" borderId="0" xfId="49" applyNumberFormat="1" applyFont="1" applyFill="1" applyBorder="1" applyAlignment="1" applyProtection="1">
      <alignment vertical="center"/>
      <protection/>
    </xf>
    <xf numFmtId="3" fontId="35" fillId="7" borderId="0" xfId="52" applyNumberFormat="1" applyFont="1" applyFill="1" applyBorder="1" applyAlignment="1" applyProtection="1">
      <alignment horizontal="right" vertical="center"/>
      <protection/>
    </xf>
    <xf numFmtId="2" fontId="0" fillId="0" borderId="12" xfId="52" applyNumberFormat="1" applyFont="1" applyBorder="1" applyAlignment="1" applyProtection="1">
      <alignment vertical="center"/>
      <protection/>
    </xf>
    <xf numFmtId="3" fontId="35" fillId="0" borderId="38" xfId="52" applyNumberFormat="1" applyFont="1" applyBorder="1" applyAlignment="1" applyProtection="1">
      <alignment horizontal="right" vertical="center"/>
      <protection/>
    </xf>
    <xf numFmtId="0" fontId="15" fillId="0" borderId="0" xfId="52" applyFont="1" applyBorder="1" applyAlignment="1" applyProtection="1">
      <alignment horizontal="center" vertical="center"/>
      <protection/>
    </xf>
    <xf numFmtId="3" fontId="0" fillId="0" borderId="68" xfId="52" applyNumberFormat="1" applyFont="1" applyBorder="1" applyAlignment="1" applyProtection="1">
      <alignment horizontal="right" vertical="center"/>
      <protection/>
    </xf>
    <xf numFmtId="175" fontId="15" fillId="0" borderId="68" xfId="49" applyNumberFormat="1" applyBorder="1" applyAlignment="1" applyProtection="1">
      <alignment vertical="center"/>
      <protection/>
    </xf>
    <xf numFmtId="4" fontId="0" fillId="0" borderId="68" xfId="52" applyNumberFormat="1" applyFont="1" applyBorder="1" applyAlignment="1" applyProtection="1">
      <alignment vertical="center"/>
      <protection/>
    </xf>
    <xf numFmtId="3" fontId="0" fillId="0" borderId="72" xfId="52" applyNumberFormat="1" applyFont="1" applyFill="1" applyBorder="1" applyAlignment="1" applyProtection="1">
      <alignment vertical="center"/>
      <protection/>
    </xf>
    <xf numFmtId="3" fontId="0" fillId="0" borderId="66" xfId="52" applyNumberFormat="1" applyFont="1" applyBorder="1" applyAlignment="1" applyProtection="1">
      <alignment horizontal="right" vertical="center"/>
      <protection/>
    </xf>
    <xf numFmtId="175" fontId="15" fillId="0" borderId="66" xfId="49" applyNumberFormat="1" applyBorder="1" applyAlignment="1" applyProtection="1">
      <alignment vertical="center"/>
      <protection/>
    </xf>
    <xf numFmtId="4" fontId="30" fillId="0" borderId="66" xfId="52" applyNumberFormat="1" applyFont="1" applyFill="1" applyBorder="1" applyAlignment="1" applyProtection="1">
      <alignment horizontal="center"/>
      <protection/>
    </xf>
    <xf numFmtId="3" fontId="0" fillId="0" borderId="67" xfId="52" applyNumberFormat="1" applyFont="1" applyFill="1" applyBorder="1" applyAlignment="1" applyProtection="1">
      <alignment vertical="center"/>
      <protection/>
    </xf>
    <xf numFmtId="3" fontId="0" fillId="7" borderId="68" xfId="52" applyNumberFormat="1" applyFont="1" applyFill="1" applyBorder="1" applyAlignment="1" applyProtection="1">
      <alignment horizontal="right" vertical="center"/>
      <protection/>
    </xf>
    <xf numFmtId="175" fontId="15" fillId="7" borderId="68" xfId="49" applyNumberFormat="1" applyFill="1" applyBorder="1" applyAlignment="1" applyProtection="1">
      <alignment vertical="center"/>
      <protection/>
    </xf>
    <xf numFmtId="4" fontId="0" fillId="7" borderId="68" xfId="52" applyNumberFormat="1" applyFont="1" applyFill="1" applyBorder="1" applyAlignment="1" applyProtection="1">
      <alignment vertical="center"/>
      <protection/>
    </xf>
    <xf numFmtId="3" fontId="0" fillId="7" borderId="72" xfId="52" applyNumberFormat="1" applyFont="1" applyFill="1" applyBorder="1" applyAlignment="1" applyProtection="1">
      <alignment vertical="center"/>
      <protection/>
    </xf>
    <xf numFmtId="3" fontId="15" fillId="7" borderId="66" xfId="49" applyNumberFormat="1" applyFill="1" applyBorder="1" applyAlignment="1" applyProtection="1">
      <alignment horizontal="right" vertical="center"/>
      <protection/>
    </xf>
    <xf numFmtId="175" fontId="15" fillId="7" borderId="66" xfId="49" applyNumberFormat="1" applyFill="1" applyBorder="1" applyAlignment="1" applyProtection="1">
      <alignment vertical="center"/>
      <protection/>
    </xf>
    <xf numFmtId="4" fontId="8" fillId="7" borderId="66" xfId="52" applyNumberFormat="1" applyFont="1" applyFill="1" applyBorder="1" applyAlignment="1" applyProtection="1">
      <alignment horizontal="center" vertical="center"/>
      <protection/>
    </xf>
    <xf numFmtId="3" fontId="0" fillId="7" borderId="67" xfId="52" applyNumberFormat="1" applyFont="1" applyFill="1" applyBorder="1" applyAlignment="1" applyProtection="1">
      <alignment vertical="center"/>
      <protection/>
    </xf>
    <xf numFmtId="175" fontId="15" fillId="0" borderId="0" xfId="49" applyNumberFormat="1" applyBorder="1" applyAlignment="1" applyProtection="1">
      <alignment vertical="center"/>
      <protection/>
    </xf>
    <xf numFmtId="175" fontId="15" fillId="0" borderId="0" xfId="49" applyNumberFormat="1" applyAlignment="1" applyProtection="1">
      <alignment vertical="center"/>
      <protection/>
    </xf>
    <xf numFmtId="4" fontId="0" fillId="0" borderId="68" xfId="52" applyNumberFormat="1" applyFont="1" applyBorder="1" applyAlignment="1" applyProtection="1">
      <alignment vertical="center"/>
      <protection/>
    </xf>
    <xf numFmtId="3" fontId="0" fillId="0" borderId="0" xfId="52" applyNumberFormat="1" applyFont="1" applyBorder="1" applyAlignment="1" applyProtection="1">
      <alignment horizontal="right" vertical="center"/>
      <protection/>
    </xf>
    <xf numFmtId="3" fontId="0" fillId="0" borderId="0" xfId="52" applyNumberFormat="1" applyFont="1" applyBorder="1" applyAlignment="1" applyProtection="1">
      <alignment horizontal="right" vertical="center"/>
      <protection/>
    </xf>
    <xf numFmtId="4" fontId="0" fillId="0" borderId="0" xfId="52" applyNumberFormat="1" applyFont="1" applyBorder="1" applyAlignment="1" applyProtection="1">
      <alignment vertical="center"/>
      <protection/>
    </xf>
    <xf numFmtId="3" fontId="0" fillId="0" borderId="15" xfId="52" applyNumberFormat="1" applyFont="1" applyFill="1" applyBorder="1" applyAlignment="1" applyProtection="1">
      <alignment vertical="center"/>
      <protection/>
    </xf>
    <xf numFmtId="3" fontId="0" fillId="0" borderId="52" xfId="52" applyNumberFormat="1" applyFont="1" applyBorder="1" applyAlignment="1" applyProtection="1">
      <alignment horizontal="right" vertical="center"/>
      <protection/>
    </xf>
    <xf numFmtId="175" fontId="15" fillId="0" borderId="52" xfId="49" applyNumberFormat="1" applyBorder="1" applyAlignment="1" applyProtection="1">
      <alignment vertical="center"/>
      <protection/>
    </xf>
    <xf numFmtId="4" fontId="30" fillId="0" borderId="52" xfId="52" applyNumberFormat="1" applyFont="1" applyFill="1" applyBorder="1" applyAlignment="1" applyProtection="1">
      <alignment horizontal="center"/>
      <protection/>
    </xf>
    <xf numFmtId="3" fontId="0" fillId="0" borderId="73" xfId="52" applyNumberFormat="1" applyFont="1" applyFill="1" applyBorder="1" applyAlignment="1" applyProtection="1">
      <alignment vertical="center"/>
      <protection/>
    </xf>
    <xf numFmtId="0" fontId="35" fillId="0" borderId="54" xfId="52" applyFont="1" applyFill="1" applyBorder="1" applyProtection="1">
      <alignment/>
      <protection/>
    </xf>
    <xf numFmtId="175" fontId="15" fillId="0" borderId="54" xfId="49" applyNumberFormat="1" applyBorder="1" applyAlignment="1" applyProtection="1">
      <alignment vertical="center"/>
      <protection/>
    </xf>
    <xf numFmtId="2" fontId="0" fillId="0" borderId="54" xfId="52" applyNumberFormat="1" applyFont="1" applyBorder="1" applyAlignment="1" applyProtection="1">
      <alignment horizontal="center"/>
      <protection/>
    </xf>
    <xf numFmtId="3" fontId="0" fillId="0" borderId="74" xfId="52" applyNumberFormat="1" applyFont="1" applyFill="1" applyBorder="1" applyAlignment="1" applyProtection="1">
      <alignment vertical="center"/>
      <protection/>
    </xf>
    <xf numFmtId="0" fontId="35" fillId="0" borderId="0" xfId="52" applyFont="1" applyFill="1" applyBorder="1" applyProtection="1">
      <alignment/>
      <protection/>
    </xf>
    <xf numFmtId="2" fontId="0" fillId="0" borderId="0" xfId="52" applyNumberFormat="1" applyFont="1" applyBorder="1" applyAlignment="1" applyProtection="1" quotePrefix="1">
      <alignment horizontal="center"/>
      <protection/>
    </xf>
    <xf numFmtId="2" fontId="0" fillId="0" borderId="0" xfId="52" applyNumberFormat="1" applyFont="1" applyBorder="1" applyAlignment="1" applyProtection="1">
      <alignment horizontal="center"/>
      <protection/>
    </xf>
    <xf numFmtId="177" fontId="0" fillId="0" borderId="0" xfId="49" applyNumberFormat="1" applyFont="1" applyBorder="1" applyAlignment="1" applyProtection="1">
      <alignment horizontal="center" vertical="center"/>
      <protection/>
    </xf>
    <xf numFmtId="0" fontId="35" fillId="0" borderId="52" xfId="52" applyFont="1" applyFill="1" applyBorder="1" applyProtection="1">
      <alignment/>
      <protection/>
    </xf>
    <xf numFmtId="2" fontId="0" fillId="0" borderId="75" xfId="52" applyNumberFormat="1" applyFont="1" applyFill="1" applyBorder="1" applyAlignment="1" applyProtection="1" quotePrefix="1">
      <alignment horizontal="left"/>
      <protection/>
    </xf>
    <xf numFmtId="175" fontId="15" fillId="0" borderId="54" xfId="49" applyNumberFormat="1" applyFont="1" applyBorder="1" applyAlignment="1" applyProtection="1">
      <alignment vertical="center"/>
      <protection/>
    </xf>
    <xf numFmtId="2" fontId="15" fillId="0" borderId="0" xfId="52" applyNumberFormat="1" applyFont="1" applyFill="1" applyBorder="1" applyAlignment="1" applyProtection="1">
      <alignment horizontal="center"/>
      <protection/>
    </xf>
    <xf numFmtId="3" fontId="15" fillId="0" borderId="74" xfId="52" applyNumberFormat="1" applyFont="1" applyFill="1" applyBorder="1" applyAlignment="1" applyProtection="1">
      <alignment vertical="center"/>
      <protection/>
    </xf>
    <xf numFmtId="175" fontId="15" fillId="0" borderId="0" xfId="49" applyNumberFormat="1" applyFont="1" applyBorder="1" applyAlignment="1" applyProtection="1">
      <alignment vertical="center"/>
      <protection/>
    </xf>
    <xf numFmtId="3" fontId="15" fillId="0" borderId="15" xfId="52" applyNumberFormat="1" applyFont="1" applyFill="1" applyBorder="1" applyAlignment="1" applyProtection="1">
      <alignment vertical="center"/>
      <protection/>
    </xf>
    <xf numFmtId="175" fontId="15" fillId="0" borderId="52" xfId="49" applyNumberFormat="1" applyFont="1" applyBorder="1" applyAlignment="1" applyProtection="1">
      <alignment vertical="center"/>
      <protection/>
    </xf>
    <xf numFmtId="2" fontId="15" fillId="0" borderId="12" xfId="52" applyNumberFormat="1" applyFont="1" applyFill="1" applyBorder="1" applyAlignment="1" applyProtection="1">
      <alignment horizontal="center"/>
      <protection/>
    </xf>
    <xf numFmtId="3" fontId="15" fillId="0" borderId="20" xfId="52" applyNumberFormat="1" applyFont="1" applyFill="1" applyBorder="1" applyAlignment="1" applyProtection="1">
      <alignment vertical="center"/>
      <protection/>
    </xf>
    <xf numFmtId="0" fontId="15" fillId="0" borderId="0" xfId="52" applyFont="1" applyAlignment="1" applyProtection="1">
      <alignment horizontal="left" vertical="center"/>
      <protection/>
    </xf>
    <xf numFmtId="0" fontId="15" fillId="0" borderId="0" xfId="52" applyFont="1" applyBorder="1" applyAlignment="1" applyProtection="1">
      <alignment horizontal="left" vertical="center"/>
      <protection/>
    </xf>
    <xf numFmtId="175" fontId="15" fillId="0" borderId="53" xfId="49" applyNumberFormat="1" applyBorder="1" applyAlignment="1" applyProtection="1">
      <alignment vertical="center"/>
      <protection/>
    </xf>
    <xf numFmtId="175" fontId="15" fillId="0" borderId="16" xfId="49" applyNumberFormat="1" applyBorder="1" applyAlignment="1" applyProtection="1">
      <alignment vertical="center"/>
      <protection/>
    </xf>
    <xf numFmtId="0" fontId="15" fillId="0" borderId="0" xfId="52" applyBorder="1" applyAlignment="1" applyProtection="1">
      <alignment horizontal="left" vertical="center"/>
      <protection/>
    </xf>
    <xf numFmtId="175" fontId="0" fillId="0" borderId="12" xfId="49" applyNumberFormat="1" applyFont="1" applyBorder="1" applyAlignment="1" applyProtection="1">
      <alignment vertical="center"/>
      <protection/>
    </xf>
    <xf numFmtId="175" fontId="0" fillId="0" borderId="0" xfId="49" applyNumberFormat="1" applyFont="1" applyAlignment="1" applyProtection="1">
      <alignment vertical="center"/>
      <protection/>
    </xf>
    <xf numFmtId="175" fontId="1" fillId="0" borderId="11" xfId="52" applyNumberFormat="1" applyFont="1" applyBorder="1" applyAlignment="1" applyProtection="1">
      <alignment vertical="center"/>
      <protection/>
    </xf>
    <xf numFmtId="175" fontId="1" fillId="0" borderId="10" xfId="52" applyNumberFormat="1" applyFont="1" applyBorder="1" applyAlignment="1" applyProtection="1">
      <alignment vertical="center"/>
      <protection/>
    </xf>
    <xf numFmtId="0" fontId="15" fillId="0" borderId="0" xfId="52" applyFont="1" applyBorder="1" applyAlignment="1" applyProtection="1">
      <alignment vertical="center"/>
      <protection/>
    </xf>
    <xf numFmtId="0" fontId="15" fillId="0" borderId="0" xfId="52" applyAlignment="1" applyProtection="1">
      <alignment horizontal="center" vertical="center"/>
      <protection/>
    </xf>
    <xf numFmtId="0" fontId="15" fillId="0" borderId="0" xfId="52" applyAlignment="1" applyProtection="1">
      <alignment horizontal="left" vertical="center"/>
      <protection/>
    </xf>
    <xf numFmtId="177" fontId="15" fillId="0" borderId="0" xfId="52" applyNumberFormat="1" applyBorder="1" applyAlignment="1" applyProtection="1">
      <alignment vertical="center"/>
      <protection/>
    </xf>
    <xf numFmtId="177" fontId="15" fillId="0" borderId="15" xfId="52" applyNumberFormat="1" applyBorder="1" applyAlignment="1" applyProtection="1">
      <alignment vertical="center"/>
      <protection/>
    </xf>
    <xf numFmtId="3" fontId="15" fillId="0" borderId="0" xfId="52" applyNumberFormat="1" applyFont="1" applyAlignment="1" applyProtection="1">
      <alignment horizontal="center" vertical="center"/>
      <protection/>
    </xf>
    <xf numFmtId="0" fontId="15" fillId="0" borderId="10" xfId="52" applyFont="1" applyBorder="1" applyAlignment="1" applyProtection="1">
      <alignment horizontal="left" vertical="center"/>
      <protection/>
    </xf>
    <xf numFmtId="4" fontId="15" fillId="21" borderId="0" xfId="52" applyNumberFormat="1" applyFont="1" applyFill="1" applyBorder="1" applyAlignment="1" applyProtection="1">
      <alignment horizontal="right" vertical="center"/>
      <protection/>
    </xf>
    <xf numFmtId="177" fontId="15" fillId="0" borderId="0" xfId="52" applyNumberFormat="1" applyAlignment="1" applyProtection="1">
      <alignment horizontal="right" vertical="center"/>
      <protection/>
    </xf>
    <xf numFmtId="4" fontId="15" fillId="0" borderId="0" xfId="52" applyNumberFormat="1" applyFill="1" applyBorder="1" applyAlignment="1" applyProtection="1">
      <alignment horizontal="right" vertical="center"/>
      <protection/>
    </xf>
    <xf numFmtId="177" fontId="15" fillId="0" borderId="0" xfId="52" applyNumberFormat="1" applyBorder="1" applyAlignment="1" applyProtection="1">
      <alignment horizontal="right" vertical="center"/>
      <protection/>
    </xf>
    <xf numFmtId="0" fontId="15" fillId="0" borderId="12" xfId="52" applyBorder="1" applyAlignment="1" applyProtection="1">
      <alignment horizontal="left" vertical="center"/>
      <protection/>
    </xf>
    <xf numFmtId="4" fontId="15" fillId="0" borderId="12" xfId="52" applyNumberFormat="1" applyFill="1" applyBorder="1" applyAlignment="1" applyProtection="1">
      <alignment horizontal="right" vertical="center"/>
      <protection/>
    </xf>
    <xf numFmtId="177" fontId="15" fillId="0" borderId="12" xfId="52" applyNumberFormat="1" applyBorder="1" applyAlignment="1" applyProtection="1">
      <alignment horizontal="right" vertical="center"/>
      <protection/>
    </xf>
    <xf numFmtId="0" fontId="15" fillId="0" borderId="16" xfId="52" applyBorder="1" applyAlignment="1" applyProtection="1">
      <alignment vertical="center"/>
      <protection hidden="1" locked="0"/>
    </xf>
    <xf numFmtId="0" fontId="15" fillId="7" borderId="16" xfId="52" applyFill="1" applyBorder="1" applyAlignment="1" applyProtection="1">
      <alignment vertical="center"/>
      <protection hidden="1" locked="0"/>
    </xf>
    <xf numFmtId="0" fontId="15" fillId="19" borderId="15" xfId="52" applyFill="1" applyBorder="1" applyAlignment="1" applyProtection="1">
      <alignment vertical="center"/>
      <protection/>
    </xf>
    <xf numFmtId="0" fontId="15" fillId="0" borderId="69" xfId="52" applyFill="1" applyBorder="1" applyAlignment="1" applyProtection="1">
      <alignment vertical="center"/>
      <protection/>
    </xf>
    <xf numFmtId="0" fontId="1" fillId="0" borderId="76" xfId="52" applyFont="1" applyBorder="1" applyAlignment="1" applyProtection="1">
      <alignment horizontal="center" vertical="center"/>
      <protection/>
    </xf>
    <xf numFmtId="175" fontId="1" fillId="0" borderId="77" xfId="52" applyNumberFormat="1" applyFont="1" applyBorder="1" applyAlignment="1" applyProtection="1">
      <alignment vertical="center"/>
      <protection/>
    </xf>
    <xf numFmtId="0" fontId="28" fillId="0" borderId="12" xfId="52" applyFont="1" applyBorder="1" applyAlignment="1" applyProtection="1">
      <alignment horizontal="center"/>
      <protection/>
    </xf>
    <xf numFmtId="0" fontId="15" fillId="0" borderId="12" xfId="52" applyBorder="1" applyAlignment="1" applyProtection="1">
      <alignment horizontal="center"/>
      <protection/>
    </xf>
    <xf numFmtId="0" fontId="0" fillId="0" borderId="10" xfId="52" applyFont="1" applyBorder="1" applyAlignment="1" applyProtection="1">
      <alignment horizontal="left" vertical="center"/>
      <protection/>
    </xf>
    <xf numFmtId="0" fontId="15" fillId="21" borderId="70" xfId="52" applyFont="1" applyFill="1" applyBorder="1" applyAlignment="1" applyProtection="1">
      <alignment horizontal="left" vertical="center"/>
      <protection/>
    </xf>
    <xf numFmtId="0" fontId="28" fillId="21" borderId="50" xfId="52" applyFont="1" applyFill="1" applyBorder="1" applyAlignment="1" applyProtection="1">
      <alignment horizontal="center" vertical="center"/>
      <protection/>
    </xf>
    <xf numFmtId="0" fontId="0" fillId="0" borderId="35" xfId="52" applyFont="1" applyBorder="1" applyAlignment="1" applyProtection="1">
      <alignment horizontal="left" vertical="center"/>
      <protection/>
    </xf>
    <xf numFmtId="0" fontId="0" fillId="0" borderId="14" xfId="52" applyFont="1" applyBorder="1" applyAlignment="1" applyProtection="1">
      <alignment horizontal="center" vertical="center"/>
      <protection/>
    </xf>
    <xf numFmtId="175" fontId="0" fillId="0" borderId="14" xfId="52" applyNumberFormat="1" applyFont="1" applyBorder="1" applyAlignment="1" applyProtection="1">
      <alignment horizontal="center" vertical="center"/>
      <protection/>
    </xf>
    <xf numFmtId="0" fontId="0" fillId="0" borderId="17" xfId="52" applyFont="1" applyBorder="1" applyAlignment="1" applyProtection="1">
      <alignment vertical="center"/>
      <protection/>
    </xf>
    <xf numFmtId="0" fontId="30" fillId="0" borderId="10" xfId="52" applyFont="1" applyBorder="1" applyAlignment="1" applyProtection="1">
      <alignment horizontal="center" vertical="center"/>
      <protection/>
    </xf>
    <xf numFmtId="175" fontId="30" fillId="0" borderId="10" xfId="49" applyNumberFormat="1" applyFont="1" applyBorder="1" applyAlignment="1" applyProtection="1">
      <alignment horizontal="center" vertical="center"/>
      <protection/>
    </xf>
    <xf numFmtId="0" fontId="8" fillId="0" borderId="10" xfId="52" applyFont="1" applyBorder="1" applyAlignment="1" applyProtection="1">
      <alignment horizontal="center" vertical="center"/>
      <protection/>
    </xf>
    <xf numFmtId="0" fontId="15" fillId="0" borderId="14" xfId="52" applyBorder="1" applyAlignment="1" applyProtection="1">
      <alignment horizontal="center" vertical="center"/>
      <protection/>
    </xf>
    <xf numFmtId="175" fontId="0" fillId="0" borderId="15" xfId="52" applyNumberFormat="1" applyFont="1" applyBorder="1" applyAlignment="1" applyProtection="1">
      <alignment vertical="center"/>
      <protection/>
    </xf>
    <xf numFmtId="0" fontId="8" fillId="0" borderId="14" xfId="52" applyFont="1" applyBorder="1" applyAlignment="1" applyProtection="1">
      <alignment horizontal="center" vertical="center"/>
      <protection/>
    </xf>
    <xf numFmtId="3" fontId="35" fillId="0" borderId="15" xfId="52" applyNumberFormat="1" applyFont="1" applyBorder="1" applyAlignment="1" applyProtection="1">
      <alignment horizontal="right" vertical="center"/>
      <protection/>
    </xf>
    <xf numFmtId="3" fontId="35" fillId="7" borderId="15" xfId="52" applyNumberFormat="1" applyFont="1" applyFill="1" applyBorder="1" applyAlignment="1" applyProtection="1">
      <alignment horizontal="right" vertical="center"/>
      <protection/>
    </xf>
    <xf numFmtId="3" fontId="35" fillId="0" borderId="59" xfId="52" applyNumberFormat="1" applyFont="1" applyBorder="1" applyAlignment="1" applyProtection="1">
      <alignment horizontal="right" vertical="center"/>
      <protection/>
    </xf>
    <xf numFmtId="177" fontId="0" fillId="0" borderId="49" xfId="52" applyNumberFormat="1" applyFont="1" applyFill="1" applyBorder="1" applyAlignment="1" applyProtection="1">
      <alignment horizontal="center" vertical="center"/>
      <protection/>
    </xf>
    <xf numFmtId="0" fontId="30" fillId="0" borderId="0" xfId="52" applyFont="1" applyBorder="1" applyAlignment="1" applyProtection="1">
      <alignment horizontal="center" vertical="center"/>
      <protection/>
    </xf>
    <xf numFmtId="0" fontId="8" fillId="0" borderId="50" xfId="52" applyFont="1" applyFill="1" applyBorder="1" applyAlignment="1" applyProtection="1" quotePrefix="1">
      <alignment horizontal="right" vertical="center"/>
      <protection/>
    </xf>
    <xf numFmtId="0" fontId="15" fillId="0" borderId="50" xfId="52" applyFont="1" applyBorder="1" applyAlignment="1" applyProtection="1">
      <alignment horizontal="left" vertical="center"/>
      <protection/>
    </xf>
    <xf numFmtId="0" fontId="1" fillId="0" borderId="40" xfId="52" applyFont="1" applyBorder="1" applyAlignment="1" applyProtection="1">
      <alignment horizontal="center" vertical="center"/>
      <protection/>
    </xf>
    <xf numFmtId="3" fontId="1" fillId="0" borderId="0" xfId="49" applyNumberFormat="1" applyFont="1" applyFill="1" applyBorder="1" applyAlignment="1" applyProtection="1">
      <alignment vertical="center"/>
      <protection/>
    </xf>
    <xf numFmtId="3" fontId="1" fillId="7" borderId="0" xfId="49" applyNumberFormat="1" applyFont="1" applyFill="1" applyBorder="1" applyAlignment="1" applyProtection="1">
      <alignment vertical="center"/>
      <protection/>
    </xf>
    <xf numFmtId="3" fontId="1" fillId="0" borderId="0" xfId="49" applyNumberFormat="1" applyFont="1" applyBorder="1" applyAlignment="1" applyProtection="1">
      <alignment vertical="center"/>
      <protection/>
    </xf>
    <xf numFmtId="3" fontId="1" fillId="7" borderId="0" xfId="52" applyNumberFormat="1" applyFont="1" applyFill="1" applyBorder="1" applyAlignment="1" applyProtection="1">
      <alignment horizontal="right" vertical="center"/>
      <protection/>
    </xf>
    <xf numFmtId="3" fontId="1" fillId="0" borderId="38" xfId="49" applyNumberFormat="1" applyFont="1" applyBorder="1" applyAlignment="1" applyProtection="1">
      <alignment vertical="center"/>
      <protection/>
    </xf>
    <xf numFmtId="0" fontId="0" fillId="0" borderId="12" xfId="52" applyFont="1" applyBorder="1" applyAlignment="1" applyProtection="1">
      <alignment horizontal="left"/>
      <protection/>
    </xf>
    <xf numFmtId="0" fontId="1" fillId="0" borderId="20" xfId="52" applyFont="1" applyBorder="1" applyProtection="1">
      <alignment/>
      <protection/>
    </xf>
    <xf numFmtId="0" fontId="8" fillId="0" borderId="0" xfId="52" applyFont="1" applyBorder="1" applyAlignment="1" applyProtection="1">
      <alignment horizontal="left" vertical="center"/>
      <protection/>
    </xf>
    <xf numFmtId="0" fontId="8" fillId="0" borderId="0" xfId="52" applyFont="1" applyBorder="1" applyProtection="1">
      <alignment/>
      <protection/>
    </xf>
    <xf numFmtId="0" fontId="8" fillId="0" borderId="0" xfId="52" applyFont="1" applyBorder="1" applyAlignment="1" applyProtection="1">
      <alignment horizontal="center" vertical="center"/>
      <protection/>
    </xf>
    <xf numFmtId="3" fontId="0" fillId="0" borderId="49" xfId="52" applyNumberFormat="1" applyFont="1" applyBorder="1" applyAlignment="1" applyProtection="1">
      <alignment horizontal="center" vertical="center"/>
      <protection/>
    </xf>
    <xf numFmtId="0" fontId="8" fillId="0" borderId="10" xfId="52" applyFont="1" applyBorder="1" applyAlignment="1" applyProtection="1">
      <alignment horizontal="left" vertical="center"/>
      <protection/>
    </xf>
    <xf numFmtId="2" fontId="8" fillId="0" borderId="10" xfId="52" applyNumberFormat="1" applyFont="1" applyBorder="1" applyAlignment="1" applyProtection="1">
      <alignment horizontal="center" vertical="center"/>
      <protection/>
    </xf>
    <xf numFmtId="175" fontId="0" fillId="0" borderId="13" xfId="49" applyNumberFormat="1" applyFont="1" applyBorder="1" applyAlignment="1" applyProtection="1">
      <alignment vertical="center"/>
      <protection/>
    </xf>
    <xf numFmtId="0" fontId="0" fillId="0" borderId="19" xfId="52" applyFont="1" applyBorder="1" applyAlignment="1" applyProtection="1">
      <alignment horizontal="left" vertical="center"/>
      <protection/>
    </xf>
    <xf numFmtId="0" fontId="0" fillId="0" borderId="11" xfId="52" applyFont="1" applyFill="1" applyBorder="1" applyAlignment="1" applyProtection="1">
      <alignment vertical="center"/>
      <protection/>
    </xf>
    <xf numFmtId="0" fontId="30" fillId="0" borderId="70" xfId="52" applyFont="1" applyFill="1" applyBorder="1" applyAlignment="1" applyProtection="1">
      <alignment vertical="center"/>
      <protection/>
    </xf>
    <xf numFmtId="0" fontId="30" fillId="0" borderId="50" xfId="52" applyFont="1" applyFill="1" applyBorder="1" applyAlignment="1" applyProtection="1">
      <alignment vertical="center"/>
      <protection/>
    </xf>
    <xf numFmtId="0" fontId="15" fillId="0" borderId="16" xfId="52" applyFont="1" applyBorder="1" applyAlignment="1" applyProtection="1">
      <alignment horizontal="center" vertical="center"/>
      <protection/>
    </xf>
    <xf numFmtId="0" fontId="15" fillId="0" borderId="10" xfId="52" applyFont="1" applyFill="1" applyBorder="1" applyAlignment="1" applyProtection="1">
      <alignment horizontal="left" vertical="center"/>
      <protection/>
    </xf>
    <xf numFmtId="0" fontId="15" fillId="0" borderId="0" xfId="52" applyFont="1" applyBorder="1" applyAlignment="1" applyProtection="1">
      <alignment horizontal="center" vertical="center"/>
      <protection/>
    </xf>
    <xf numFmtId="0" fontId="15" fillId="0" borderId="10" xfId="52" applyFont="1" applyBorder="1" applyAlignment="1" applyProtection="1">
      <alignment horizontal="center" vertical="center"/>
      <protection/>
    </xf>
    <xf numFmtId="0" fontId="0" fillId="0" borderId="10" xfId="52" applyFont="1" applyBorder="1" applyAlignment="1" applyProtection="1">
      <alignment horizontal="center" vertical="center"/>
      <protection/>
    </xf>
    <xf numFmtId="0" fontId="15" fillId="0" borderId="58" xfId="52" applyFont="1" applyBorder="1" applyAlignment="1" applyProtection="1">
      <alignment horizontal="center" vertical="center"/>
      <protection/>
    </xf>
    <xf numFmtId="1" fontId="0" fillId="0" borderId="68" xfId="52" applyNumberFormat="1" applyFont="1" applyBorder="1" applyAlignment="1" applyProtection="1">
      <alignment horizontal="left" vertical="center"/>
      <protection/>
    </xf>
    <xf numFmtId="1" fontId="4" fillId="0" borderId="66" xfId="52" applyNumberFormat="1" applyFont="1" applyBorder="1" applyAlignment="1" applyProtection="1">
      <alignment horizontal="left" vertical="center"/>
      <protection/>
    </xf>
    <xf numFmtId="1" fontId="0" fillId="7" borderId="0" xfId="52" applyNumberFormat="1" applyFont="1" applyFill="1" applyBorder="1" applyAlignment="1" applyProtection="1">
      <alignment horizontal="left" vertical="center"/>
      <protection/>
    </xf>
    <xf numFmtId="1" fontId="4" fillId="7" borderId="66" xfId="52" applyNumberFormat="1" applyFont="1" applyFill="1" applyBorder="1" applyAlignment="1" applyProtection="1">
      <alignment horizontal="left" vertical="center"/>
      <protection/>
    </xf>
    <xf numFmtId="1" fontId="0" fillId="0" borderId="0" xfId="52" applyNumberFormat="1" applyFont="1" applyBorder="1" applyAlignment="1" applyProtection="1">
      <alignment horizontal="left" vertical="center"/>
      <protection/>
    </xf>
    <xf numFmtId="1" fontId="0" fillId="7" borderId="68" xfId="52" applyNumberFormat="1" applyFont="1" applyFill="1" applyBorder="1" applyAlignment="1" applyProtection="1">
      <alignment horizontal="left" vertical="center"/>
      <protection/>
    </xf>
    <xf numFmtId="1" fontId="4" fillId="0" borderId="52" xfId="52" applyNumberFormat="1" applyFont="1" applyBorder="1" applyAlignment="1" applyProtection="1">
      <alignment horizontal="left" vertical="center"/>
      <protection/>
    </xf>
    <xf numFmtId="175" fontId="4" fillId="0" borderId="54" xfId="49" applyNumberFormat="1" applyFont="1" applyBorder="1" applyAlignment="1" applyProtection="1">
      <alignment horizontal="left" vertical="center"/>
      <protection/>
    </xf>
    <xf numFmtId="175" fontId="4" fillId="0" borderId="0" xfId="49" applyNumberFormat="1" applyFont="1" applyBorder="1" applyAlignment="1" applyProtection="1">
      <alignment horizontal="left" vertical="center"/>
      <protection/>
    </xf>
    <xf numFmtId="175" fontId="35" fillId="0" borderId="0" xfId="49" applyNumberFormat="1" applyFont="1" applyBorder="1" applyAlignment="1" applyProtection="1">
      <alignment horizontal="left" vertical="center"/>
      <protection/>
    </xf>
    <xf numFmtId="175" fontId="35" fillId="0" borderId="52" xfId="49" applyNumberFormat="1" applyFont="1" applyBorder="1" applyAlignment="1" applyProtection="1">
      <alignment horizontal="left" vertical="center"/>
      <protection/>
    </xf>
    <xf numFmtId="0" fontId="35" fillId="0" borderId="0" xfId="52" applyFont="1" applyAlignment="1" applyProtection="1">
      <alignment horizontal="center"/>
      <protection/>
    </xf>
    <xf numFmtId="175" fontId="30" fillId="0" borderId="53" xfId="52" applyNumberFormat="1" applyFont="1" applyFill="1" applyBorder="1" applyAlignment="1" applyProtection="1">
      <alignment horizontal="left" vertical="center"/>
      <protection/>
    </xf>
    <xf numFmtId="175" fontId="30" fillId="0" borderId="16" xfId="52" applyNumberFormat="1" applyFont="1" applyFill="1" applyBorder="1" applyAlignment="1" applyProtection="1">
      <alignment horizontal="left" vertical="center"/>
      <protection/>
    </xf>
    <xf numFmtId="175" fontId="30" fillId="0" borderId="51" xfId="52" applyNumberFormat="1" applyFont="1" applyFill="1" applyBorder="1" applyAlignment="1" applyProtection="1">
      <alignment horizontal="left" vertical="center"/>
      <protection/>
    </xf>
    <xf numFmtId="175" fontId="30" fillId="0" borderId="11" xfId="52" applyNumberFormat="1" applyFont="1" applyFill="1" applyBorder="1" applyAlignment="1" applyProtection="1">
      <alignment horizontal="left" vertical="center"/>
      <protection/>
    </xf>
    <xf numFmtId="0" fontId="1" fillId="0" borderId="18" xfId="52" applyFont="1" applyBorder="1" applyAlignment="1" applyProtection="1">
      <alignment horizontal="left" vertical="center"/>
      <protection/>
    </xf>
    <xf numFmtId="0" fontId="30" fillId="0" borderId="74" xfId="52" applyFont="1" applyFill="1" applyBorder="1" applyProtection="1">
      <alignment/>
      <protection/>
    </xf>
    <xf numFmtId="0" fontId="30" fillId="0" borderId="15" xfId="52" applyFont="1" applyFill="1" applyBorder="1" applyProtection="1">
      <alignment/>
      <protection/>
    </xf>
    <xf numFmtId="175" fontId="30" fillId="0" borderId="15" xfId="49" applyNumberFormat="1" applyFont="1" applyFill="1" applyBorder="1" applyAlignment="1" applyProtection="1">
      <alignment vertical="center"/>
      <protection/>
    </xf>
    <xf numFmtId="175" fontId="30" fillId="0" borderId="73" xfId="49" applyNumberFormat="1" applyFont="1" applyFill="1" applyBorder="1" applyAlignment="1" applyProtection="1">
      <alignment vertical="center"/>
      <protection/>
    </xf>
    <xf numFmtId="0" fontId="15" fillId="0" borderId="11" xfId="52" applyFill="1" applyBorder="1" applyProtection="1">
      <alignment/>
      <protection/>
    </xf>
    <xf numFmtId="0" fontId="15" fillId="0" borderId="0" xfId="52" applyProtection="1">
      <alignment/>
      <protection/>
    </xf>
    <xf numFmtId="0" fontId="15" fillId="0" borderId="52" xfId="52" applyFont="1" applyBorder="1" applyAlignment="1" applyProtection="1">
      <alignment horizontal="left" vertical="center"/>
      <protection/>
    </xf>
    <xf numFmtId="0" fontId="15" fillId="0" borderId="54" xfId="52" applyFont="1" applyBorder="1" applyAlignment="1" applyProtection="1">
      <alignment horizontal="left" vertical="center"/>
      <protection/>
    </xf>
    <xf numFmtId="0" fontId="15" fillId="0" borderId="0" xfId="52" applyFont="1" applyAlignment="1" applyProtection="1">
      <alignment vertical="center"/>
      <protection/>
    </xf>
    <xf numFmtId="175" fontId="0" fillId="0" borderId="16" xfId="52" applyNumberFormat="1" applyFont="1" applyBorder="1" applyAlignment="1" applyProtection="1">
      <alignment vertical="center"/>
      <protection/>
    </xf>
    <xf numFmtId="175" fontId="0" fillId="0" borderId="17" xfId="52" applyNumberFormat="1" applyFont="1" applyBorder="1" applyAlignment="1" applyProtection="1">
      <alignment vertical="center"/>
      <protection/>
    </xf>
    <xf numFmtId="0" fontId="28" fillId="0" borderId="13" xfId="52" applyFont="1" applyBorder="1" applyAlignment="1" applyProtection="1">
      <alignment horizontal="center" vertical="center"/>
      <protection/>
    </xf>
    <xf numFmtId="0" fontId="30" fillId="0" borderId="16" xfId="52" applyFont="1" applyBorder="1" applyAlignment="1" applyProtection="1">
      <alignment horizontal="left" vertical="center"/>
      <protection/>
    </xf>
    <xf numFmtId="3" fontId="28" fillId="0" borderId="0" xfId="52" applyNumberFormat="1" applyFont="1" applyBorder="1" applyAlignment="1" applyProtection="1">
      <alignment vertical="center"/>
      <protection/>
    </xf>
    <xf numFmtId="3" fontId="15" fillId="0" borderId="0" xfId="52" applyNumberFormat="1" applyFont="1" applyBorder="1" applyAlignment="1" applyProtection="1" quotePrefix="1">
      <alignment vertical="center"/>
      <protection/>
    </xf>
    <xf numFmtId="0" fontId="15" fillId="0" borderId="15" xfId="52" applyFont="1" applyBorder="1" applyAlignment="1" applyProtection="1" quotePrefix="1">
      <alignment vertical="center"/>
      <protection/>
    </xf>
    <xf numFmtId="0" fontId="15" fillId="0" borderId="0" xfId="52" applyFont="1" applyBorder="1" applyAlignment="1" applyProtection="1" quotePrefix="1">
      <alignment vertical="center"/>
      <protection/>
    </xf>
    <xf numFmtId="0" fontId="15" fillId="0" borderId="59" xfId="52" applyFont="1" applyBorder="1" applyAlignment="1" applyProtection="1" quotePrefix="1">
      <alignment vertical="center"/>
      <protection/>
    </xf>
    <xf numFmtId="0" fontId="28" fillId="0" borderId="78" xfId="52" applyFont="1" applyBorder="1" applyAlignment="1" applyProtection="1" quotePrefix="1">
      <alignment vertical="center"/>
      <protection/>
    </xf>
    <xf numFmtId="0" fontId="15" fillId="0" borderId="25" xfId="52" applyBorder="1" applyAlignment="1" applyProtection="1">
      <alignment horizontal="left" vertical="center"/>
      <protection/>
    </xf>
    <xf numFmtId="175" fontId="0" fillId="0" borderId="28" xfId="52" applyNumberFormat="1" applyFont="1" applyBorder="1" applyAlignment="1" applyProtection="1">
      <alignment vertical="center"/>
      <protection/>
    </xf>
    <xf numFmtId="0" fontId="15" fillId="0" borderId="25" xfId="52" applyFont="1" applyBorder="1" applyAlignment="1" applyProtection="1">
      <alignment horizontal="left" vertical="center"/>
      <protection/>
    </xf>
    <xf numFmtId="175" fontId="15" fillId="0" borderId="28" xfId="52" applyNumberFormat="1" applyBorder="1" applyAlignment="1" applyProtection="1">
      <alignment vertical="center"/>
      <protection/>
    </xf>
    <xf numFmtId="175" fontId="15" fillId="0" borderId="33" xfId="52" applyNumberFormat="1" applyBorder="1" applyAlignment="1" applyProtection="1">
      <alignment vertical="center"/>
      <protection/>
    </xf>
    <xf numFmtId="0" fontId="15" fillId="0" borderId="25" xfId="52" applyBorder="1" applyAlignment="1" applyProtection="1">
      <alignment horizontal="left" vertical="center"/>
      <protection hidden="1"/>
    </xf>
    <xf numFmtId="0" fontId="54" fillId="0" borderId="25" xfId="52" applyFont="1" applyBorder="1" applyAlignment="1" applyProtection="1">
      <alignment horizontal="left" vertical="center"/>
      <protection hidden="1"/>
    </xf>
    <xf numFmtId="175" fontId="15" fillId="0" borderId="64" xfId="52" applyNumberFormat="1" applyBorder="1" applyAlignment="1" applyProtection="1">
      <alignment horizontal="right" vertical="center"/>
      <protection/>
    </xf>
    <xf numFmtId="0" fontId="28" fillId="0" borderId="57" xfId="52" applyFont="1" applyBorder="1" applyAlignment="1" applyProtection="1">
      <alignment horizontal="left" vertical="center"/>
      <protection/>
    </xf>
    <xf numFmtId="0" fontId="15" fillId="0" borderId="32" xfId="52" applyBorder="1" applyProtection="1">
      <alignment/>
      <protection/>
    </xf>
    <xf numFmtId="0" fontId="28" fillId="15" borderId="26" xfId="52" applyFont="1" applyFill="1" applyBorder="1" applyAlignment="1" applyProtection="1">
      <alignment horizontal="center"/>
      <protection/>
    </xf>
    <xf numFmtId="175" fontId="28" fillId="0" borderId="16" xfId="49" applyNumberFormat="1" applyFont="1" applyBorder="1" applyAlignment="1" applyProtection="1">
      <alignment horizontal="center" vertical="center"/>
      <protection/>
    </xf>
    <xf numFmtId="0" fontId="30" fillId="0" borderId="28" xfId="52" applyFont="1" applyBorder="1" applyAlignment="1" applyProtection="1">
      <alignment horizontal="center"/>
      <protection/>
    </xf>
    <xf numFmtId="0" fontId="28" fillId="15" borderId="55" xfId="52" applyFont="1" applyFill="1" applyBorder="1" applyAlignment="1" applyProtection="1">
      <alignment horizontal="center"/>
      <protection/>
    </xf>
    <xf numFmtId="0" fontId="8" fillId="0" borderId="18" xfId="52" applyFont="1" applyBorder="1" applyAlignment="1" applyProtection="1">
      <alignment horizontal="left" vertical="center"/>
      <protection/>
    </xf>
    <xf numFmtId="0" fontId="1" fillId="0" borderId="78" xfId="52" applyFont="1" applyBorder="1" applyAlignment="1" applyProtection="1" quotePrefix="1">
      <alignment vertical="center"/>
      <protection/>
    </xf>
    <xf numFmtId="0" fontId="15" fillId="0" borderId="40" xfId="52" applyBorder="1" applyProtection="1">
      <alignment/>
      <protection/>
    </xf>
    <xf numFmtId="0" fontId="8" fillId="0" borderId="25" xfId="52" applyFont="1" applyBorder="1" applyAlignment="1" applyProtection="1">
      <alignment vertical="center"/>
      <protection/>
    </xf>
    <xf numFmtId="177" fontId="0" fillId="0" borderId="0" xfId="52" applyNumberFormat="1" applyFont="1" applyBorder="1" applyAlignment="1" applyProtection="1">
      <alignment vertical="center"/>
      <protection/>
    </xf>
    <xf numFmtId="0" fontId="15" fillId="0" borderId="25" xfId="52" applyFont="1" applyBorder="1" applyAlignment="1" applyProtection="1">
      <alignment horizontal="left" vertical="center"/>
      <protection/>
    </xf>
    <xf numFmtId="177" fontId="15" fillId="0" borderId="0" xfId="49" applyNumberFormat="1" applyBorder="1" applyAlignment="1" applyProtection="1">
      <alignment vertical="center"/>
      <protection/>
    </xf>
    <xf numFmtId="0" fontId="0" fillId="0" borderId="25" xfId="52" applyFont="1" applyBorder="1" applyAlignment="1" applyProtection="1">
      <alignment vertical="center"/>
      <protection/>
    </xf>
    <xf numFmtId="0" fontId="28" fillId="0" borderId="79" xfId="52" applyFont="1" applyBorder="1" applyAlignment="1" applyProtection="1">
      <alignment vertical="center"/>
      <protection/>
    </xf>
    <xf numFmtId="177" fontId="28" fillId="0" borderId="66" xfId="52" applyNumberFormat="1" applyFont="1" applyBorder="1" applyAlignment="1" applyProtection="1">
      <alignment horizontal="center" vertical="center"/>
      <protection/>
    </xf>
    <xf numFmtId="0" fontId="28" fillId="0" borderId="78" xfId="52" applyFont="1" applyFill="1" applyBorder="1" applyAlignment="1" applyProtection="1">
      <alignment vertical="center"/>
      <protection/>
    </xf>
    <xf numFmtId="0" fontId="0" fillId="0" borderId="40" xfId="52" applyFont="1" applyFill="1" applyBorder="1" applyAlignment="1" applyProtection="1">
      <alignment horizontal="right" vertical="center"/>
      <protection/>
    </xf>
    <xf numFmtId="0" fontId="15" fillId="0" borderId="79" xfId="52" applyFont="1" applyBorder="1" applyAlignment="1" applyProtection="1">
      <alignment horizontal="left" vertical="center"/>
      <protection/>
    </xf>
    <xf numFmtId="0" fontId="43" fillId="0" borderId="66" xfId="52" applyFont="1" applyBorder="1" applyAlignment="1" applyProtection="1">
      <alignment horizontal="center" vertical="center"/>
      <protection/>
    </xf>
    <xf numFmtId="0" fontId="0" fillId="0" borderId="80" xfId="52" applyFont="1" applyFill="1" applyBorder="1" applyAlignment="1" applyProtection="1">
      <alignment horizontal="left" vertical="center"/>
      <protection/>
    </xf>
    <xf numFmtId="174" fontId="44" fillId="0" borderId="81" xfId="52" applyNumberFormat="1" applyFont="1" applyFill="1" applyBorder="1" applyAlignment="1" applyProtection="1">
      <alignment horizontal="center" vertical="center"/>
      <protection/>
    </xf>
    <xf numFmtId="0" fontId="28" fillId="0" borderId="16" xfId="52" applyFont="1" applyFill="1" applyBorder="1" applyAlignment="1" applyProtection="1">
      <alignment vertical="center"/>
      <protection/>
    </xf>
    <xf numFmtId="175" fontId="15" fillId="0" borderId="0" xfId="52" applyNumberFormat="1" applyFill="1" applyBorder="1" applyAlignment="1" applyProtection="1">
      <alignment vertical="center"/>
      <protection/>
    </xf>
    <xf numFmtId="175" fontId="0" fillId="0" borderId="17" xfId="52" applyNumberFormat="1" applyFont="1" applyBorder="1" applyAlignment="1" applyProtection="1">
      <alignment horizontal="left" vertical="center"/>
      <protection/>
    </xf>
    <xf numFmtId="178" fontId="0" fillId="0" borderId="18" xfId="52" applyNumberFormat="1" applyFont="1" applyBorder="1" applyAlignment="1" applyProtection="1">
      <alignment horizontal="center" vertical="center"/>
      <protection/>
    </xf>
    <xf numFmtId="0" fontId="1" fillId="0" borderId="76" xfId="49" applyNumberFormat="1" applyFont="1" applyBorder="1" applyAlignment="1" applyProtection="1">
      <alignment horizontal="left" vertical="center"/>
      <protection/>
    </xf>
    <xf numFmtId="169" fontId="15" fillId="0" borderId="10" xfId="52" applyNumberFormat="1" applyFont="1" applyBorder="1" applyAlignment="1" applyProtection="1">
      <alignment horizontal="center" vertical="center"/>
      <protection/>
    </xf>
    <xf numFmtId="0" fontId="15" fillId="0" borderId="19" xfId="52" applyFont="1" applyFill="1" applyBorder="1" applyAlignment="1" applyProtection="1">
      <alignment horizontal="left" vertical="center"/>
      <protection/>
    </xf>
    <xf numFmtId="0" fontId="1" fillId="0" borderId="66" xfId="52" applyFont="1" applyBorder="1" applyAlignment="1" applyProtection="1">
      <alignment horizontal="center" vertical="center"/>
      <protection/>
    </xf>
    <xf numFmtId="0" fontId="0" fillId="0" borderId="81" xfId="52" applyFont="1" applyFill="1" applyBorder="1" applyAlignment="1" applyProtection="1">
      <alignment horizontal="left" vertical="center"/>
      <protection/>
    </xf>
    <xf numFmtId="0" fontId="15" fillId="0" borderId="81" xfId="52" applyFont="1" applyFill="1" applyBorder="1" applyAlignment="1" applyProtection="1">
      <alignment horizontal="center" vertical="center"/>
      <protection/>
    </xf>
    <xf numFmtId="0" fontId="1" fillId="0" borderId="40" xfId="52" applyFont="1" applyFill="1" applyBorder="1" applyAlignment="1" applyProtection="1">
      <alignment horizontal="center" vertical="center"/>
      <protection/>
    </xf>
    <xf numFmtId="0" fontId="28" fillId="0" borderId="17" xfId="52" applyFont="1" applyFill="1" applyBorder="1" applyAlignment="1" applyProtection="1">
      <alignment vertical="center"/>
      <protection/>
    </xf>
    <xf numFmtId="0" fontId="15" fillId="0" borderId="10" xfId="52" applyBorder="1" applyAlignment="1" applyProtection="1">
      <alignment/>
      <protection/>
    </xf>
    <xf numFmtId="0" fontId="1" fillId="0" borderId="18" xfId="52" applyFont="1" applyFill="1" applyBorder="1" applyAlignment="1" applyProtection="1">
      <alignment vertical="center"/>
      <protection/>
    </xf>
    <xf numFmtId="0" fontId="15" fillId="0" borderId="12" xfId="52" applyBorder="1" applyAlignment="1" applyProtection="1">
      <alignment vertical="center"/>
      <protection/>
    </xf>
    <xf numFmtId="0" fontId="15" fillId="0" borderId="33" xfId="52" applyFill="1" applyBorder="1" applyAlignment="1" applyProtection="1">
      <alignment vertical="center"/>
      <protection/>
    </xf>
    <xf numFmtId="0" fontId="15" fillId="0" borderId="28" xfId="52" applyBorder="1" applyProtection="1">
      <alignment/>
      <protection/>
    </xf>
    <xf numFmtId="177" fontId="0" fillId="0" borderId="18" xfId="52" applyNumberFormat="1" applyFont="1" applyBorder="1" applyAlignment="1" applyProtection="1">
      <alignment vertical="center"/>
      <protection/>
    </xf>
    <xf numFmtId="0" fontId="0" fillId="0" borderId="12" xfId="52" applyFont="1" applyBorder="1" applyAlignment="1" applyProtection="1">
      <alignment vertical="center"/>
      <protection/>
    </xf>
    <xf numFmtId="0" fontId="1" fillId="0" borderId="12" xfId="52" applyFont="1" applyBorder="1" applyAlignment="1" applyProtection="1">
      <alignment horizontal="center" vertical="center"/>
      <protection/>
    </xf>
    <xf numFmtId="175" fontId="30" fillId="0" borderId="12" xfId="52" applyNumberFormat="1" applyFont="1" applyBorder="1" applyAlignment="1" applyProtection="1">
      <alignment horizontal="right" vertical="center"/>
      <protection/>
    </xf>
    <xf numFmtId="0" fontId="1" fillId="0" borderId="76" xfId="52" applyFont="1" applyBorder="1" applyAlignment="1" applyProtection="1">
      <alignment vertical="center"/>
      <protection/>
    </xf>
    <xf numFmtId="0" fontId="0" fillId="0" borderId="42" xfId="52" applyFont="1" applyBorder="1" applyAlignment="1" applyProtection="1">
      <alignment horizontal="center" vertical="center"/>
      <protection/>
    </xf>
    <xf numFmtId="3" fontId="0" fillId="0" borderId="11" xfId="52" applyNumberFormat="1" applyFont="1" applyBorder="1" applyAlignment="1" applyProtection="1">
      <alignment vertical="center"/>
      <protection/>
    </xf>
    <xf numFmtId="0" fontId="15" fillId="0" borderId="12" xfId="52" applyBorder="1" applyProtection="1">
      <alignment/>
      <protection/>
    </xf>
    <xf numFmtId="0" fontId="15" fillId="0" borderId="12" xfId="52" applyBorder="1" applyAlignment="1" applyProtection="1">
      <alignment horizontal="center" vertical="center"/>
      <protection/>
    </xf>
    <xf numFmtId="175" fontId="1" fillId="0" borderId="12" xfId="50" applyNumberFormat="1" applyFont="1" applyBorder="1" applyAlignment="1" applyProtection="1">
      <alignment vertical="center"/>
      <protection/>
    </xf>
    <xf numFmtId="0" fontId="28" fillId="0" borderId="16" xfId="52" applyFont="1" applyBorder="1" applyAlignment="1" applyProtection="1">
      <alignment vertical="center"/>
      <protection/>
    </xf>
    <xf numFmtId="0" fontId="15" fillId="0" borderId="0" xfId="52" applyAlignment="1" applyProtection="1">
      <alignment vertical="center"/>
      <protection/>
    </xf>
    <xf numFmtId="0" fontId="15" fillId="0" borderId="0" xfId="52" applyFill="1" applyAlignment="1" applyProtection="1">
      <alignment horizontal="left" vertical="center"/>
      <protection/>
    </xf>
    <xf numFmtId="0" fontId="15" fillId="0" borderId="16" xfId="52" applyFont="1" applyFill="1" applyBorder="1" applyAlignment="1" applyProtection="1">
      <alignment horizontal="left" vertical="center"/>
      <protection/>
    </xf>
    <xf numFmtId="0" fontId="30" fillId="0" borderId="16" xfId="52" applyFont="1" applyFill="1" applyBorder="1" applyAlignment="1" applyProtection="1">
      <alignment horizontal="center" vertical="center"/>
      <protection/>
    </xf>
    <xf numFmtId="0" fontId="30" fillId="0" borderId="0" xfId="52" applyFont="1" applyBorder="1" applyAlignment="1" applyProtection="1">
      <alignment vertical="center"/>
      <protection/>
    </xf>
    <xf numFmtId="0" fontId="0" fillId="0" borderId="16" xfId="52" applyFont="1" applyFill="1" applyBorder="1" applyAlignment="1" applyProtection="1">
      <alignment horizontal="left" vertical="center"/>
      <protection/>
    </xf>
    <xf numFmtId="174" fontId="35" fillId="0" borderId="0" xfId="56" applyNumberFormat="1" applyFont="1" applyAlignment="1" applyProtection="1">
      <alignment horizontal="center" vertical="center"/>
      <protection/>
    </xf>
    <xf numFmtId="169" fontId="15" fillId="0" borderId="0" xfId="52" applyNumberFormat="1" applyAlignment="1" applyProtection="1">
      <alignment horizontal="center" vertical="center"/>
      <protection/>
    </xf>
    <xf numFmtId="0" fontId="28" fillId="0" borderId="0" xfId="52" applyFont="1" applyAlignment="1" applyProtection="1">
      <alignment horizontal="center" vertical="center"/>
      <protection/>
    </xf>
    <xf numFmtId="169" fontId="15" fillId="0" borderId="0" xfId="52" applyNumberFormat="1" applyAlignment="1" applyProtection="1">
      <alignment vertical="center"/>
      <protection/>
    </xf>
    <xf numFmtId="177" fontId="15" fillId="0" borderId="0" xfId="52" applyNumberFormat="1" applyAlignment="1" applyProtection="1">
      <alignment vertical="center"/>
      <protection/>
    </xf>
    <xf numFmtId="0" fontId="15" fillId="0" borderId="0" xfId="52" applyFill="1" applyBorder="1" applyAlignment="1" applyProtection="1" quotePrefix="1">
      <alignment vertical="center"/>
      <protection/>
    </xf>
    <xf numFmtId="0" fontId="15" fillId="0" borderId="0" xfId="52" applyFill="1" applyBorder="1" applyAlignment="1" applyProtection="1" quotePrefix="1">
      <alignment horizontal="left" vertical="center"/>
      <protection/>
    </xf>
    <xf numFmtId="0" fontId="15" fillId="0" borderId="0" xfId="52" applyFill="1" applyBorder="1" applyAlignment="1" applyProtection="1">
      <alignment horizontal="left" vertical="center"/>
      <protection/>
    </xf>
    <xf numFmtId="0" fontId="15" fillId="0" borderId="0" xfId="52" applyFill="1" applyBorder="1" applyAlignment="1" applyProtection="1">
      <alignment horizontal="center" vertical="center"/>
      <protection/>
    </xf>
    <xf numFmtId="0" fontId="15" fillId="0" borderId="0" xfId="52" applyFont="1" applyFill="1" applyBorder="1" applyAlignment="1" applyProtection="1" quotePrefix="1">
      <alignment horizontal="left" vertical="center"/>
      <protection/>
    </xf>
    <xf numFmtId="3" fontId="15" fillId="0" borderId="0" xfId="52" applyNumberFormat="1" applyAlignment="1" applyProtection="1">
      <alignment horizontal="center" vertical="center"/>
      <protection/>
    </xf>
    <xf numFmtId="3" fontId="15" fillId="0" borderId="0" xfId="56" applyNumberFormat="1" applyAlignment="1" applyProtection="1">
      <alignment horizontal="center" vertical="center"/>
      <protection/>
    </xf>
    <xf numFmtId="3" fontId="15" fillId="0" borderId="0" xfId="52" applyNumberFormat="1" applyBorder="1" applyAlignment="1" applyProtection="1">
      <alignment vertical="center"/>
      <protection/>
    </xf>
    <xf numFmtId="3" fontId="15" fillId="0" borderId="0" xfId="52" applyNumberFormat="1" applyFill="1" applyBorder="1" applyAlignment="1" applyProtection="1">
      <alignment vertical="center"/>
      <protection/>
    </xf>
    <xf numFmtId="3" fontId="15" fillId="0" borderId="0" xfId="56" applyNumberFormat="1" applyFill="1" applyAlignment="1" applyProtection="1">
      <alignment vertical="center"/>
      <protection/>
    </xf>
    <xf numFmtId="1" fontId="15" fillId="0" borderId="0" xfId="56" applyNumberFormat="1" applyFill="1" applyAlignment="1" applyProtection="1">
      <alignment vertical="center"/>
      <protection/>
    </xf>
    <xf numFmtId="3" fontId="0" fillId="0" borderId="0" xfId="52" applyNumberFormat="1" applyFont="1" applyBorder="1" applyAlignment="1" applyProtection="1">
      <alignment vertical="center"/>
      <protection/>
    </xf>
    <xf numFmtId="3" fontId="0" fillId="0" borderId="0" xfId="52" applyNumberFormat="1" applyFont="1" applyFill="1" applyBorder="1" applyAlignment="1" applyProtection="1">
      <alignment vertical="center"/>
      <protection/>
    </xf>
    <xf numFmtId="0" fontId="15" fillId="0" borderId="0" xfId="52" applyFill="1" applyBorder="1" applyAlignment="1" applyProtection="1">
      <alignment vertical="center"/>
      <protection/>
    </xf>
    <xf numFmtId="3" fontId="15" fillId="0" borderId="0" xfId="52" applyNumberFormat="1" applyFont="1" applyFill="1" applyBorder="1" applyAlignment="1" applyProtection="1">
      <alignment vertical="center"/>
      <protection/>
    </xf>
    <xf numFmtId="3" fontId="15" fillId="0" borderId="0" xfId="52" applyNumberFormat="1" applyFont="1" applyBorder="1" applyAlignment="1" applyProtection="1">
      <alignment vertical="center"/>
      <protection/>
    </xf>
    <xf numFmtId="0" fontId="0" fillId="0" borderId="0" xfId="52" applyFont="1" applyFill="1" applyBorder="1" applyAlignment="1" applyProtection="1">
      <alignment horizontal="left" vertical="center"/>
      <protection/>
    </xf>
    <xf numFmtId="0" fontId="15" fillId="0" borderId="0" xfId="52" applyFill="1" applyBorder="1" applyAlignment="1" applyProtection="1">
      <alignment horizontal="right" vertical="center"/>
      <protection/>
    </xf>
    <xf numFmtId="0" fontId="15" fillId="0" borderId="0" xfId="52" applyFont="1" applyBorder="1" applyAlignment="1" applyProtection="1">
      <alignment horizontal="right" vertical="center"/>
      <protection/>
    </xf>
    <xf numFmtId="0" fontId="0" fillId="0" borderId="0" xfId="52" applyFont="1" applyBorder="1" applyAlignment="1" applyProtection="1">
      <alignment horizontal="left" vertical="center"/>
      <protection/>
    </xf>
    <xf numFmtId="0" fontId="15" fillId="0" borderId="0" xfId="52" applyBorder="1" applyAlignment="1" applyProtection="1">
      <alignment horizontal="right" vertical="center"/>
      <protection/>
    </xf>
    <xf numFmtId="3" fontId="30" fillId="0" borderId="0" xfId="52" applyNumberFormat="1" applyFont="1" applyAlignment="1" applyProtection="1">
      <alignment horizontal="left" vertical="center"/>
      <protection/>
    </xf>
    <xf numFmtId="0" fontId="15" fillId="0" borderId="0" xfId="52" applyBorder="1" applyAlignment="1" applyProtection="1">
      <alignment horizontal="center"/>
      <protection/>
    </xf>
    <xf numFmtId="0" fontId="28" fillId="0" borderId="58" xfId="52" applyFont="1" applyBorder="1" applyAlignment="1" applyProtection="1">
      <alignment horizontal="center" vertical="center"/>
      <protection/>
    </xf>
    <xf numFmtId="177" fontId="15" fillId="0" borderId="12" xfId="52" applyNumberFormat="1" applyBorder="1" applyAlignment="1" applyProtection="1">
      <alignment vertical="center"/>
      <protection/>
    </xf>
    <xf numFmtId="177" fontId="15" fillId="0" borderId="20" xfId="52" applyNumberFormat="1" applyBorder="1" applyAlignment="1" applyProtection="1">
      <alignment vertical="center"/>
      <protection/>
    </xf>
    <xf numFmtId="0" fontId="28" fillId="0" borderId="0" xfId="52" applyFont="1" applyProtection="1">
      <alignment/>
      <protection/>
    </xf>
    <xf numFmtId="176" fontId="28" fillId="0" borderId="0" xfId="49" applyNumberFormat="1" applyFont="1" applyProtection="1">
      <alignment/>
      <protection/>
    </xf>
    <xf numFmtId="0" fontId="36" fillId="0" borderId="0" xfId="52" applyFont="1" applyProtection="1">
      <alignment/>
      <protection/>
    </xf>
    <xf numFmtId="3" fontId="15" fillId="0" borderId="0" xfId="56" applyNumberFormat="1" applyFont="1" applyAlignment="1" applyProtection="1">
      <alignment horizontal="center" vertical="center"/>
      <protection/>
    </xf>
    <xf numFmtId="0" fontId="35" fillId="0" borderId="16" xfId="52" applyFont="1" applyBorder="1" applyAlignment="1" applyProtection="1">
      <alignment horizontal="left" vertical="center"/>
      <protection/>
    </xf>
    <xf numFmtId="0" fontId="35" fillId="0" borderId="16" xfId="52" applyFont="1" applyBorder="1" applyAlignment="1" applyProtection="1">
      <alignment horizontal="center" vertical="center"/>
      <protection/>
    </xf>
    <xf numFmtId="0" fontId="35" fillId="0" borderId="16" xfId="52" applyFont="1" applyBorder="1" applyAlignment="1" applyProtection="1">
      <alignment vertical="center"/>
      <protection/>
    </xf>
    <xf numFmtId="0" fontId="30" fillId="0" borderId="18" xfId="52" applyFont="1" applyBorder="1" applyAlignment="1" applyProtection="1">
      <alignment vertical="center"/>
      <protection/>
    </xf>
    <xf numFmtId="0" fontId="15" fillId="0" borderId="0" xfId="52" applyFont="1" applyAlignment="1" applyProtection="1">
      <alignment horizontal="center" vertical="center"/>
      <protection/>
    </xf>
    <xf numFmtId="0" fontId="46" fillId="0" borderId="42" xfId="52" applyFont="1" applyFill="1" applyBorder="1" applyAlignment="1" applyProtection="1">
      <alignment horizontal="left" vertical="center"/>
      <protection/>
    </xf>
    <xf numFmtId="0" fontId="46" fillId="0" borderId="11" xfId="52" applyFont="1" applyFill="1" applyBorder="1" applyAlignment="1" applyProtection="1">
      <alignment horizontal="left" vertical="center"/>
      <protection/>
    </xf>
    <xf numFmtId="0" fontId="46" fillId="0" borderId="13" xfId="52" applyFont="1" applyFill="1" applyBorder="1" applyAlignment="1" applyProtection="1">
      <alignment horizontal="left" vertical="center"/>
      <protection/>
    </xf>
    <xf numFmtId="175" fontId="15" fillId="0" borderId="70" xfId="52" applyNumberFormat="1" applyFont="1" applyBorder="1" applyAlignment="1" applyProtection="1">
      <alignment horizontal="left" vertical="center"/>
      <protection/>
    </xf>
    <xf numFmtId="0" fontId="28" fillId="0" borderId="76" xfId="52" applyFont="1" applyBorder="1" applyAlignment="1" applyProtection="1">
      <alignment vertical="center"/>
      <protection/>
    </xf>
    <xf numFmtId="0" fontId="15" fillId="0" borderId="50" xfId="52" applyFont="1" applyBorder="1" applyAlignment="1" applyProtection="1">
      <alignment horizontal="center" vertical="center"/>
      <protection/>
    </xf>
    <xf numFmtId="3" fontId="15" fillId="0" borderId="0" xfId="52" applyNumberFormat="1" applyFill="1" applyBorder="1" applyAlignment="1" applyProtection="1">
      <alignment vertical="center"/>
      <protection locked="0"/>
    </xf>
    <xf numFmtId="49" fontId="15" fillId="0" borderId="0" xfId="52" applyNumberFormat="1">
      <alignment/>
      <protection/>
    </xf>
    <xf numFmtId="49" fontId="15" fillId="0" borderId="0" xfId="52" applyNumberFormat="1" applyAlignment="1">
      <alignment horizontal="right"/>
      <protection/>
    </xf>
    <xf numFmtId="49" fontId="28" fillId="0" borderId="0" xfId="52" applyNumberFormat="1" applyFont="1" applyAlignment="1">
      <alignment horizontal="right"/>
      <protection/>
    </xf>
    <xf numFmtId="49" fontId="0" fillId="0" borderId="0" xfId="52" applyNumberFormat="1" applyFont="1" applyBorder="1" applyAlignment="1">
      <alignment horizontal="right"/>
      <protection/>
    </xf>
    <xf numFmtId="177" fontId="0" fillId="0" borderId="15" xfId="52" applyNumberFormat="1" applyFont="1" applyBorder="1" applyAlignment="1" applyProtection="1">
      <alignment vertical="center"/>
      <protection/>
    </xf>
    <xf numFmtId="0" fontId="68" fillId="0" borderId="0" xfId="52" applyFont="1">
      <alignment/>
      <protection/>
    </xf>
    <xf numFmtId="0" fontId="72" fillId="7" borderId="13" xfId="66" applyFont="1" applyBorder="1" applyAlignment="1" applyProtection="1">
      <alignment horizontal="right"/>
      <protection locked="0"/>
    </xf>
    <xf numFmtId="0" fontId="62" fillId="7" borderId="19" xfId="52" applyFont="1" applyFill="1" applyBorder="1" applyAlignment="1" applyProtection="1">
      <alignment horizontal="left"/>
      <protection/>
    </xf>
    <xf numFmtId="0" fontId="62" fillId="7" borderId="13" xfId="52" applyFont="1" applyFill="1" applyBorder="1" applyAlignment="1" applyProtection="1">
      <alignment horizontal="left"/>
      <protection/>
    </xf>
    <xf numFmtId="0" fontId="15" fillId="7" borderId="11" xfId="52" applyFont="1" applyFill="1" applyBorder="1" applyAlignment="1" applyProtection="1">
      <alignment horizontal="left" vertical="center"/>
      <protection/>
    </xf>
    <xf numFmtId="0" fontId="15" fillId="7" borderId="19" xfId="52" applyFont="1" applyFill="1" applyBorder="1" applyAlignment="1" applyProtection="1">
      <alignment horizontal="left" vertical="center"/>
      <protection/>
    </xf>
    <xf numFmtId="0" fontId="62" fillId="7" borderId="13" xfId="52" applyFont="1" applyFill="1" applyBorder="1" applyAlignment="1" applyProtection="1">
      <alignment horizontal="left" vertical="center"/>
      <protection/>
    </xf>
    <xf numFmtId="2" fontId="0" fillId="0" borderId="15" xfId="52" applyNumberFormat="1" applyFont="1" applyBorder="1">
      <alignment/>
      <protection/>
    </xf>
    <xf numFmtId="49" fontId="0" fillId="0" borderId="16" xfId="52" applyNumberFormat="1" applyFont="1" applyBorder="1" applyAlignment="1">
      <alignment horizontal="center"/>
      <protection/>
    </xf>
    <xf numFmtId="0" fontId="0" fillId="0" borderId="16" xfId="52" applyFont="1" applyBorder="1" applyAlignment="1" quotePrefix="1">
      <alignment horizontal="left"/>
      <protection/>
    </xf>
    <xf numFmtId="0" fontId="0" fillId="0" borderId="16" xfId="52" applyFont="1" applyBorder="1" applyAlignment="1">
      <alignment horizontal="left"/>
      <protection/>
    </xf>
    <xf numFmtId="0" fontId="64" fillId="0" borderId="16" xfId="52" applyFont="1" applyBorder="1" applyAlignment="1">
      <alignment horizontal="left"/>
      <protection/>
    </xf>
    <xf numFmtId="49" fontId="0" fillId="0" borderId="16" xfId="52" applyNumberFormat="1" applyFont="1" applyFill="1" applyBorder="1" applyAlignment="1">
      <alignment horizontal="center"/>
      <protection/>
    </xf>
    <xf numFmtId="0" fontId="0" fillId="0" borderId="0" xfId="52" applyFont="1" applyFill="1" applyBorder="1" applyAlignment="1">
      <alignment horizontal="center"/>
      <protection/>
    </xf>
    <xf numFmtId="0" fontId="0" fillId="0" borderId="0" xfId="52" applyFont="1" applyFill="1" applyBorder="1" applyAlignment="1">
      <alignment horizontal="left"/>
      <protection/>
    </xf>
    <xf numFmtId="0" fontId="0" fillId="0" borderId="0" xfId="52" applyFont="1" applyFill="1" applyBorder="1" quotePrefix="1">
      <alignment/>
      <protection/>
    </xf>
    <xf numFmtId="0" fontId="64" fillId="0" borderId="0" xfId="52" applyFont="1" applyFill="1" applyBorder="1" applyAlignment="1">
      <alignment horizontal="center"/>
      <protection/>
    </xf>
    <xf numFmtId="0" fontId="0" fillId="0" borderId="0" xfId="52" applyFont="1" applyFill="1" applyBorder="1" applyAlignment="1" quotePrefix="1">
      <alignment horizontal="center"/>
      <protection/>
    </xf>
    <xf numFmtId="0" fontId="64" fillId="0" borderId="0" xfId="52" applyFont="1" applyFill="1" applyBorder="1" applyAlignment="1" quotePrefix="1">
      <alignment horizontal="center"/>
      <protection/>
    </xf>
    <xf numFmtId="0" fontId="0" fillId="0" borderId="0" xfId="52" applyFont="1" applyFill="1" applyAlignment="1">
      <alignment horizontal="center"/>
      <protection/>
    </xf>
    <xf numFmtId="190" fontId="0" fillId="0" borderId="0" xfId="52" applyNumberFormat="1" applyFont="1" applyFill="1">
      <alignment/>
      <protection/>
    </xf>
    <xf numFmtId="190" fontId="44" fillId="0" borderId="0" xfId="52" applyNumberFormat="1" applyFont="1" applyFill="1">
      <alignment/>
      <protection/>
    </xf>
    <xf numFmtId="182" fontId="0" fillId="0" borderId="0" xfId="52" applyNumberFormat="1" applyFont="1" applyFill="1">
      <alignment/>
      <protection/>
    </xf>
    <xf numFmtId="2" fontId="0" fillId="0" borderId="0" xfId="52" applyNumberFormat="1" applyFont="1" applyFill="1" applyBorder="1" applyAlignment="1">
      <alignment horizontal="center"/>
      <protection/>
    </xf>
    <xf numFmtId="182" fontId="0" fillId="0" borderId="0" xfId="52" applyNumberFormat="1" applyFont="1" applyFill="1" applyBorder="1">
      <alignment/>
      <protection/>
    </xf>
    <xf numFmtId="0" fontId="15" fillId="0" borderId="60" xfId="52" applyFont="1" applyBorder="1" applyAlignment="1">
      <alignment horizontal="center"/>
      <protection/>
    </xf>
    <xf numFmtId="0" fontId="15" fillId="0" borderId="82" xfId="52" applyFont="1" applyBorder="1" applyAlignment="1">
      <alignment horizontal="center"/>
      <protection/>
    </xf>
    <xf numFmtId="0" fontId="15" fillId="0" borderId="61" xfId="52" applyFont="1" applyBorder="1" applyAlignment="1">
      <alignment horizontal="center"/>
      <protection/>
    </xf>
    <xf numFmtId="0" fontId="28" fillId="18" borderId="83" xfId="52" applyFont="1" applyFill="1" applyBorder="1" applyAlignment="1">
      <alignment horizontal="center"/>
      <protection/>
    </xf>
    <xf numFmtId="0" fontId="28" fillId="0" borderId="17" xfId="52" applyFont="1" applyBorder="1" applyProtection="1" quotePrefix="1">
      <alignment/>
      <protection/>
    </xf>
    <xf numFmtId="0" fontId="15" fillId="0" borderId="10" xfId="52" applyBorder="1" applyProtection="1">
      <alignment/>
      <protection/>
    </xf>
    <xf numFmtId="0" fontId="15" fillId="0" borderId="16" xfId="52" applyBorder="1" applyProtection="1">
      <alignment/>
      <protection/>
    </xf>
    <xf numFmtId="0" fontId="15" fillId="0" borderId="84" xfId="52" applyBorder="1" applyProtection="1">
      <alignment/>
      <protection/>
    </xf>
    <xf numFmtId="0" fontId="15" fillId="0" borderId="66" xfId="52" applyBorder="1" applyProtection="1">
      <alignment/>
      <protection/>
    </xf>
    <xf numFmtId="0" fontId="15" fillId="0" borderId="16" xfId="52" applyBorder="1" applyAlignment="1" applyProtection="1">
      <alignment horizontal="right"/>
      <protection/>
    </xf>
    <xf numFmtId="0" fontId="15" fillId="0" borderId="0" xfId="52" applyProtection="1" quotePrefix="1">
      <alignment/>
      <protection/>
    </xf>
    <xf numFmtId="0" fontId="15" fillId="0" borderId="84" xfId="52" applyBorder="1" applyAlignment="1" applyProtection="1">
      <alignment horizontal="right"/>
      <protection/>
    </xf>
    <xf numFmtId="0" fontId="15" fillId="0" borderId="85" xfId="52" applyBorder="1" applyProtection="1">
      <alignment/>
      <protection/>
    </xf>
    <xf numFmtId="0" fontId="15" fillId="0" borderId="68" xfId="52" applyBorder="1" applyProtection="1">
      <alignment/>
      <protection/>
    </xf>
    <xf numFmtId="0" fontId="15" fillId="0" borderId="18" xfId="52" applyBorder="1" applyProtection="1">
      <alignment/>
      <protection/>
    </xf>
    <xf numFmtId="0" fontId="15" fillId="0" borderId="0" xfId="52" applyBorder="1" applyProtection="1">
      <alignment/>
      <protection/>
    </xf>
    <xf numFmtId="0" fontId="15" fillId="0" borderId="86" xfId="52" applyBorder="1" applyProtection="1">
      <alignment/>
      <protection/>
    </xf>
    <xf numFmtId="0" fontId="15" fillId="0" borderId="87" xfId="52" applyBorder="1" applyProtection="1">
      <alignment/>
      <protection/>
    </xf>
    <xf numFmtId="0" fontId="15" fillId="0" borderId="88" xfId="52" applyBorder="1" applyProtection="1">
      <alignment/>
      <protection/>
    </xf>
    <xf numFmtId="0" fontId="15" fillId="0" borderId="65" xfId="52" applyBorder="1" applyProtection="1">
      <alignment/>
      <protection/>
    </xf>
    <xf numFmtId="0" fontId="28" fillId="0" borderId="89" xfId="52" applyFont="1" applyBorder="1" applyProtection="1">
      <alignment/>
      <protection/>
    </xf>
    <xf numFmtId="0" fontId="28" fillId="0" borderId="90" xfId="52" applyFont="1" applyBorder="1" applyAlignment="1" applyProtection="1">
      <alignment horizontal="center"/>
      <protection/>
    </xf>
    <xf numFmtId="0" fontId="28" fillId="0" borderId="80" xfId="52" applyFont="1" applyBorder="1" applyProtection="1">
      <alignment/>
      <protection/>
    </xf>
    <xf numFmtId="0" fontId="28" fillId="0" borderId="69" xfId="52" applyFont="1" applyBorder="1" applyAlignment="1" applyProtection="1">
      <alignment horizontal="center"/>
      <protection/>
    </xf>
    <xf numFmtId="0" fontId="15" fillId="0" borderId="89" xfId="52" applyFont="1" applyBorder="1" applyAlignment="1" applyProtection="1">
      <alignment horizontal="left"/>
      <protection/>
    </xf>
    <xf numFmtId="0" fontId="28" fillId="0" borderId="49" xfId="52" applyFont="1" applyBorder="1" applyProtection="1">
      <alignment/>
      <protection/>
    </xf>
    <xf numFmtId="0" fontId="15" fillId="0" borderId="10" xfId="52" applyBorder="1" applyAlignment="1" applyProtection="1">
      <alignment horizontal="center"/>
      <protection/>
    </xf>
    <xf numFmtId="0" fontId="15" fillId="0" borderId="12" xfId="52" applyBorder="1" applyAlignment="1" applyProtection="1">
      <alignment horizontal="left"/>
      <protection/>
    </xf>
    <xf numFmtId="0" fontId="15" fillId="0" borderId="11" xfId="52" applyBorder="1" applyProtection="1">
      <alignment/>
      <protection/>
    </xf>
    <xf numFmtId="0" fontId="15" fillId="0" borderId="11" xfId="52" applyBorder="1" applyAlignment="1" applyProtection="1">
      <alignment horizontal="left"/>
      <protection/>
    </xf>
    <xf numFmtId="0" fontId="15" fillId="0" borderId="0" xfId="52" applyAlignment="1" applyProtection="1">
      <alignment horizontal="left"/>
      <protection/>
    </xf>
    <xf numFmtId="0" fontId="15" fillId="0" borderId="16" xfId="52" applyBorder="1" applyAlignment="1" applyProtection="1">
      <alignment horizontal="center"/>
      <protection/>
    </xf>
    <xf numFmtId="0" fontId="15" fillId="0" borderId="18" xfId="52" applyBorder="1" applyAlignment="1" applyProtection="1">
      <alignment horizontal="center"/>
      <protection/>
    </xf>
    <xf numFmtId="0" fontId="15" fillId="0" borderId="17" xfId="52" applyBorder="1" applyAlignment="1" applyProtection="1">
      <alignment horizontal="left"/>
      <protection/>
    </xf>
    <xf numFmtId="0" fontId="15" fillId="0" borderId="10" xfId="52" applyBorder="1" applyAlignment="1" applyProtection="1">
      <alignment horizontal="left"/>
      <protection/>
    </xf>
    <xf numFmtId="0" fontId="15" fillId="0" borderId="66" xfId="52" applyBorder="1" applyProtection="1" quotePrefix="1">
      <alignment/>
      <protection/>
    </xf>
    <xf numFmtId="0" fontId="15" fillId="0" borderId="87" xfId="52" applyBorder="1" applyProtection="1" quotePrefix="1">
      <alignment/>
      <protection/>
    </xf>
    <xf numFmtId="0" fontId="15" fillId="0" borderId="65" xfId="52" applyBorder="1" applyProtection="1" quotePrefix="1">
      <alignment/>
      <protection/>
    </xf>
    <xf numFmtId="0" fontId="15" fillId="0" borderId="84" xfId="52" applyBorder="1" applyAlignment="1" applyProtection="1">
      <alignment/>
      <protection/>
    </xf>
    <xf numFmtId="0" fontId="15" fillId="0" borderId="66" xfId="52" applyBorder="1" applyAlignment="1" applyProtection="1">
      <alignment horizontal="right"/>
      <protection/>
    </xf>
    <xf numFmtId="0" fontId="15" fillId="0" borderId="16" xfId="52" applyBorder="1" applyAlignment="1" applyProtection="1" quotePrefix="1">
      <alignment horizontal="left"/>
      <protection/>
    </xf>
    <xf numFmtId="0" fontId="15" fillId="0" borderId="0" xfId="52" applyAlignment="1" applyProtection="1" quotePrefix="1">
      <alignment horizontal="right"/>
      <protection/>
    </xf>
    <xf numFmtId="0" fontId="15" fillId="0" borderId="16" xfId="52" applyBorder="1" applyAlignment="1" applyProtection="1">
      <alignment horizontal="left"/>
      <protection/>
    </xf>
    <xf numFmtId="0" fontId="15" fillId="0" borderId="0" xfId="52" applyBorder="1" applyAlignment="1" applyProtection="1">
      <alignment horizontal="right"/>
      <protection/>
    </xf>
    <xf numFmtId="0" fontId="28" fillId="0" borderId="70" xfId="52" applyFont="1" applyFill="1" applyBorder="1" applyProtection="1">
      <alignment/>
      <protection/>
    </xf>
    <xf numFmtId="0" fontId="15" fillId="0" borderId="50" xfId="52" applyFill="1" applyBorder="1" applyProtection="1">
      <alignment/>
      <protection/>
    </xf>
    <xf numFmtId="0" fontId="28" fillId="0" borderId="49" xfId="52" applyFont="1" applyFill="1" applyBorder="1" applyProtection="1">
      <alignment/>
      <protection/>
    </xf>
    <xf numFmtId="0" fontId="15" fillId="0" borderId="13" xfId="52" applyBorder="1" applyProtection="1">
      <alignment/>
      <protection/>
    </xf>
    <xf numFmtId="0" fontId="15" fillId="0" borderId="67" xfId="52" applyBorder="1" applyProtection="1">
      <alignment/>
      <protection/>
    </xf>
    <xf numFmtId="0" fontId="15" fillId="0" borderId="91" xfId="52" applyBorder="1" applyProtection="1">
      <alignment/>
      <protection/>
    </xf>
    <xf numFmtId="0" fontId="28" fillId="0" borderId="90" xfId="52" applyFont="1" applyBorder="1" applyProtection="1">
      <alignment/>
      <protection/>
    </xf>
    <xf numFmtId="0" fontId="15" fillId="0" borderId="80" xfId="52" applyFont="1" applyFill="1" applyBorder="1" applyProtection="1">
      <alignment/>
      <protection/>
    </xf>
    <xf numFmtId="0" fontId="15" fillId="0" borderId="0" xfId="52" applyAlignment="1" applyProtection="1">
      <alignment horizontal="right"/>
      <protection/>
    </xf>
    <xf numFmtId="0" fontId="52" fillId="0" borderId="0" xfId="52" applyFont="1" applyBorder="1" applyAlignment="1" applyProtection="1">
      <alignment horizontal="right"/>
      <protection/>
    </xf>
    <xf numFmtId="0" fontId="52" fillId="0" borderId="66" xfId="52" applyFont="1" applyBorder="1" applyAlignment="1" applyProtection="1">
      <alignment horizontal="right"/>
      <protection/>
    </xf>
    <xf numFmtId="0" fontId="28" fillId="0" borderId="14" xfId="52" applyFont="1" applyBorder="1" applyAlignment="1" applyProtection="1">
      <alignment horizontal="center"/>
      <protection/>
    </xf>
    <xf numFmtId="0" fontId="0" fillId="0" borderId="50" xfId="52" applyFont="1" applyBorder="1" applyProtection="1">
      <alignment/>
      <protection/>
    </xf>
    <xf numFmtId="0" fontId="1" fillId="0" borderId="49" xfId="52" applyFont="1" applyBorder="1" applyProtection="1">
      <alignment/>
      <protection/>
    </xf>
    <xf numFmtId="0" fontId="15" fillId="9" borderId="40" xfId="52" applyFill="1" applyBorder="1" applyProtection="1">
      <alignment/>
      <protection/>
    </xf>
    <xf numFmtId="0" fontId="15" fillId="9" borderId="58" xfId="52" applyFill="1" applyBorder="1" applyProtection="1">
      <alignment/>
      <protection/>
    </xf>
    <xf numFmtId="175" fontId="0" fillId="0" borderId="0" xfId="47" applyNumberFormat="1" applyFont="1" applyBorder="1" applyAlignment="1" applyProtection="1">
      <alignment horizontal="right"/>
      <protection/>
    </xf>
    <xf numFmtId="49" fontId="0" fillId="0" borderId="17" xfId="47" applyNumberFormat="1" applyFont="1" applyBorder="1" applyAlignment="1" applyProtection="1">
      <alignment horizontal="center"/>
      <protection/>
    </xf>
    <xf numFmtId="49" fontId="0" fillId="0" borderId="16" xfId="47" applyNumberFormat="1" applyFont="1" applyBorder="1" applyAlignment="1" applyProtection="1">
      <alignment horizontal="center"/>
      <protection/>
    </xf>
    <xf numFmtId="175" fontId="0" fillId="0" borderId="0" xfId="47" applyNumberFormat="1" applyFont="1" applyFill="1" applyBorder="1" applyAlignment="1" applyProtection="1">
      <alignment horizontal="right"/>
      <protection/>
    </xf>
    <xf numFmtId="175" fontId="0" fillId="9" borderId="0" xfId="47" applyNumberFormat="1" applyFont="1" applyFill="1" applyBorder="1" applyAlignment="1" applyProtection="1">
      <alignment horizontal="right"/>
      <protection/>
    </xf>
    <xf numFmtId="175" fontId="0" fillId="0" borderId="15" xfId="47" applyNumberFormat="1" applyFont="1" applyFill="1" applyBorder="1" applyAlignment="1" applyProtection="1">
      <alignment horizontal="right"/>
      <protection/>
    </xf>
    <xf numFmtId="175" fontId="15" fillId="0" borderId="0" xfId="52" applyNumberFormat="1" applyBorder="1" applyProtection="1">
      <alignment/>
      <protection/>
    </xf>
    <xf numFmtId="175" fontId="15" fillId="0" borderId="15" xfId="52" applyNumberFormat="1" applyBorder="1" applyProtection="1">
      <alignment/>
      <protection/>
    </xf>
    <xf numFmtId="49" fontId="0" fillId="0" borderId="16" xfId="47" applyNumberFormat="1" applyFont="1" applyBorder="1" applyAlignment="1" applyProtection="1">
      <alignment horizontal="center"/>
      <protection/>
    </xf>
    <xf numFmtId="0" fontId="15" fillId="0" borderId="14" xfId="52" applyBorder="1" applyProtection="1">
      <alignment/>
      <protection/>
    </xf>
    <xf numFmtId="0" fontId="0" fillId="0" borderId="35" xfId="0" applyFont="1" applyBorder="1" applyAlignment="1" applyProtection="1">
      <alignment horizontal="left"/>
      <protection/>
    </xf>
    <xf numFmtId="0" fontId="0" fillId="0" borderId="25" xfId="0" applyFont="1" applyBorder="1" applyAlignment="1" applyProtection="1">
      <alignment horizontal="left"/>
      <protection/>
    </xf>
    <xf numFmtId="0" fontId="15" fillId="0" borderId="25" xfId="52" applyFont="1" applyBorder="1" applyProtection="1">
      <alignment/>
      <protection/>
    </xf>
    <xf numFmtId="0" fontId="56" fillId="22" borderId="63" xfId="0" applyFont="1" applyFill="1" applyBorder="1" applyAlignment="1" applyProtection="1">
      <alignment horizontal="left"/>
      <protection/>
    </xf>
    <xf numFmtId="175" fontId="56" fillId="22" borderId="92" xfId="0" applyNumberFormat="1" applyFont="1" applyFill="1" applyBorder="1" applyAlignment="1" applyProtection="1">
      <alignment horizontal="right"/>
      <protection/>
    </xf>
    <xf numFmtId="175" fontId="56" fillId="22" borderId="38" xfId="0" applyNumberFormat="1" applyFont="1" applyFill="1" applyBorder="1" applyAlignment="1" applyProtection="1">
      <alignment horizontal="right"/>
      <protection/>
    </xf>
    <xf numFmtId="0" fontId="56" fillId="22" borderId="76" xfId="0" applyFont="1" applyFill="1" applyBorder="1" applyAlignment="1" applyProtection="1">
      <alignment horizontal="center"/>
      <protection/>
    </xf>
    <xf numFmtId="0" fontId="56" fillId="20" borderId="40" xfId="0" applyFont="1" applyFill="1" applyBorder="1" applyAlignment="1" applyProtection="1">
      <alignment horizontal="center"/>
      <protection/>
    </xf>
    <xf numFmtId="0" fontId="56" fillId="20" borderId="40" xfId="0" applyFont="1" applyFill="1" applyBorder="1" applyAlignment="1" applyProtection="1">
      <alignment horizontal="left"/>
      <protection/>
    </xf>
    <xf numFmtId="0" fontId="56" fillId="20" borderId="57" xfId="0" applyFont="1" applyFill="1" applyBorder="1" applyAlignment="1" applyProtection="1">
      <alignment horizontal="center"/>
      <protection/>
    </xf>
    <xf numFmtId="49" fontId="56" fillId="20" borderId="93" xfId="0" applyNumberFormat="1" applyFont="1" applyFill="1" applyBorder="1" applyAlignment="1" applyProtection="1">
      <alignment horizontal="center"/>
      <protection/>
    </xf>
    <xf numFmtId="0" fontId="56" fillId="20" borderId="25" xfId="0" applyFont="1" applyFill="1" applyBorder="1" applyAlignment="1" applyProtection="1">
      <alignment horizontal="centerContinuous" vertical="top"/>
      <protection/>
    </xf>
    <xf numFmtId="0" fontId="55" fillId="20" borderId="0" xfId="0" applyFont="1" applyFill="1" applyBorder="1" applyAlignment="1" applyProtection="1">
      <alignment horizontal="center"/>
      <protection/>
    </xf>
    <xf numFmtId="0" fontId="55" fillId="20" borderId="18" xfId="0" applyFont="1" applyFill="1" applyBorder="1" applyAlignment="1" applyProtection="1">
      <alignment horizontal="center"/>
      <protection/>
    </xf>
    <xf numFmtId="49" fontId="55" fillId="20" borderId="41" xfId="0" applyNumberFormat="1" applyFont="1" applyFill="1" applyBorder="1" applyAlignment="1" applyProtection="1">
      <alignment horizontal="center"/>
      <protection/>
    </xf>
    <xf numFmtId="175" fontId="56" fillId="22" borderId="70" xfId="0" applyNumberFormat="1" applyFont="1" applyFill="1" applyBorder="1" applyAlignment="1" applyProtection="1">
      <alignment horizontal="left"/>
      <protection/>
    </xf>
    <xf numFmtId="49" fontId="0" fillId="10" borderId="28" xfId="47" applyNumberFormat="1" applyFont="1" applyFill="1" applyBorder="1" applyAlignment="1" applyProtection="1">
      <alignment horizontal="center"/>
      <protection locked="0"/>
    </xf>
    <xf numFmtId="49" fontId="0" fillId="10" borderId="82" xfId="47" applyNumberFormat="1" applyFont="1" applyFill="1" applyBorder="1" applyAlignment="1" applyProtection="1">
      <alignment horizontal="center"/>
      <protection locked="0"/>
    </xf>
    <xf numFmtId="49" fontId="0" fillId="10" borderId="23" xfId="47" applyNumberFormat="1" applyFont="1" applyFill="1" applyBorder="1" applyAlignment="1" applyProtection="1">
      <alignment horizontal="center"/>
      <protection locked="0"/>
    </xf>
    <xf numFmtId="49" fontId="0" fillId="10" borderId="92" xfId="47" applyNumberFormat="1" applyFont="1" applyFill="1" applyBorder="1" applyAlignment="1" applyProtection="1">
      <alignment horizontal="center"/>
      <protection locked="0"/>
    </xf>
    <xf numFmtId="175" fontId="0" fillId="0" borderId="16" xfId="47" applyNumberFormat="1" applyFont="1" applyBorder="1" applyAlignment="1" applyProtection="1">
      <alignment horizontal="right"/>
      <protection/>
    </xf>
    <xf numFmtId="0" fontId="15" fillId="10" borderId="16" xfId="52" applyFill="1" applyBorder="1" applyProtection="1">
      <alignment/>
      <protection locked="0"/>
    </xf>
    <xf numFmtId="175" fontId="56" fillId="22" borderId="94" xfId="0" applyNumberFormat="1" applyFont="1" applyFill="1" applyBorder="1" applyAlignment="1" applyProtection="1">
      <alignment horizontal="right"/>
      <protection/>
    </xf>
    <xf numFmtId="0" fontId="15" fillId="9" borderId="95" xfId="52" applyFill="1" applyBorder="1" applyProtection="1">
      <alignment/>
      <protection/>
    </xf>
    <xf numFmtId="0" fontId="15" fillId="9" borderId="0" xfId="52" applyFill="1" applyProtection="1">
      <alignment/>
      <protection/>
    </xf>
    <xf numFmtId="0" fontId="15" fillId="9" borderId="96" xfId="52" applyFill="1" applyBorder="1" applyProtection="1">
      <alignment/>
      <protection/>
    </xf>
    <xf numFmtId="0" fontId="15" fillId="9" borderId="97" xfId="52" applyFill="1" applyBorder="1" applyProtection="1">
      <alignment/>
      <protection/>
    </xf>
    <xf numFmtId="0" fontId="15" fillId="9" borderId="17" xfId="52" applyFill="1" applyBorder="1" applyProtection="1">
      <alignment/>
      <protection/>
    </xf>
    <xf numFmtId="0" fontId="15" fillId="9" borderId="16" xfId="52" applyFill="1" applyBorder="1" applyProtection="1">
      <alignment/>
      <protection/>
    </xf>
    <xf numFmtId="0" fontId="15" fillId="9" borderId="15" xfId="52" applyFill="1" applyBorder="1" applyProtection="1">
      <alignment/>
      <protection/>
    </xf>
    <xf numFmtId="0" fontId="15" fillId="9" borderId="18" xfId="52" applyFill="1" applyBorder="1" applyProtection="1">
      <alignment/>
      <protection/>
    </xf>
    <xf numFmtId="0" fontId="15" fillId="9" borderId="12" xfId="52" applyFill="1" applyBorder="1" applyProtection="1">
      <alignment/>
      <protection/>
    </xf>
    <xf numFmtId="0" fontId="15" fillId="9" borderId="20" xfId="52" applyFill="1" applyBorder="1" applyProtection="1">
      <alignment/>
      <protection/>
    </xf>
    <xf numFmtId="0" fontId="15" fillId="0" borderId="0" xfId="52" applyFill="1" applyProtection="1">
      <alignment/>
      <protection/>
    </xf>
    <xf numFmtId="0" fontId="15" fillId="9" borderId="62" xfId="52" applyFill="1" applyBorder="1" applyProtection="1">
      <alignment/>
      <protection/>
    </xf>
    <xf numFmtId="0" fontId="15" fillId="9" borderId="39" xfId="52" applyFill="1" applyBorder="1" applyProtection="1">
      <alignment/>
      <protection/>
    </xf>
    <xf numFmtId="175" fontId="0" fillId="9" borderId="16" xfId="47" applyNumberFormat="1" applyFont="1" applyFill="1" applyBorder="1" applyAlignment="1" applyProtection="1">
      <alignment horizontal="right"/>
      <protection/>
    </xf>
    <xf numFmtId="0" fontId="1" fillId="0" borderId="95" xfId="52" applyFont="1" applyBorder="1" applyAlignment="1" applyProtection="1">
      <alignment horizontal="left"/>
      <protection/>
    </xf>
    <xf numFmtId="175" fontId="15" fillId="9" borderId="16" xfId="52" applyNumberFormat="1" applyFill="1" applyBorder="1" applyProtection="1">
      <alignment/>
      <protection/>
    </xf>
    <xf numFmtId="0" fontId="15" fillId="9" borderId="78" xfId="52" applyFill="1" applyBorder="1" applyProtection="1">
      <alignment/>
      <protection/>
    </xf>
    <xf numFmtId="0" fontId="15" fillId="9" borderId="25" xfId="52" applyFill="1" applyBorder="1" applyProtection="1">
      <alignment/>
      <protection/>
    </xf>
    <xf numFmtId="0" fontId="15" fillId="9" borderId="0" xfId="52" applyFill="1" applyBorder="1" applyProtection="1">
      <alignment/>
      <protection/>
    </xf>
    <xf numFmtId="0" fontId="15" fillId="9" borderId="41" xfId="52" applyFill="1" applyBorder="1" applyProtection="1">
      <alignment/>
      <protection/>
    </xf>
    <xf numFmtId="0" fontId="15" fillId="9" borderId="34" xfId="52" applyFill="1" applyBorder="1" applyProtection="1">
      <alignment/>
      <protection/>
    </xf>
    <xf numFmtId="175" fontId="15" fillId="0" borderId="16" xfId="52" applyNumberFormat="1" applyBorder="1" applyAlignment="1">
      <alignment vertical="center"/>
      <protection/>
    </xf>
    <xf numFmtId="175" fontId="15" fillId="0" borderId="18" xfId="52" applyNumberFormat="1" applyBorder="1" applyAlignment="1">
      <alignment vertical="center"/>
      <protection/>
    </xf>
    <xf numFmtId="175" fontId="0" fillId="0" borderId="16" xfId="52" applyNumberFormat="1" applyFont="1" applyBorder="1" applyAlignment="1">
      <alignment vertical="center"/>
      <protection/>
    </xf>
    <xf numFmtId="175" fontId="15" fillId="0" borderId="16" xfId="52" applyNumberFormat="1" applyFont="1" applyBorder="1" applyAlignment="1">
      <alignment vertical="center"/>
      <protection/>
    </xf>
    <xf numFmtId="10" fontId="8" fillId="19" borderId="20" xfId="0" applyNumberFormat="1" applyFont="1" applyFill="1" applyBorder="1" applyAlignment="1" applyProtection="1">
      <alignment vertical="center"/>
      <protection locked="0"/>
    </xf>
    <xf numFmtId="10" fontId="15" fillId="2" borderId="20" xfId="52" applyNumberFormat="1" applyFill="1" applyBorder="1" applyAlignment="1" applyProtection="1">
      <alignment vertical="center"/>
      <protection locked="0"/>
    </xf>
    <xf numFmtId="0" fontId="15" fillId="0" borderId="13" xfId="52" applyFont="1" applyFill="1" applyBorder="1" applyAlignment="1">
      <alignment horizontal="center"/>
      <protection/>
    </xf>
    <xf numFmtId="0" fontId="15" fillId="0" borderId="0" xfId="52" applyFont="1" applyBorder="1" applyAlignment="1" quotePrefix="1">
      <alignment horizontal="left"/>
      <protection/>
    </xf>
    <xf numFmtId="0" fontId="15" fillId="0" borderId="12" xfId="52" applyFont="1" applyBorder="1" applyAlignment="1" quotePrefix="1">
      <alignment horizontal="left"/>
      <protection/>
    </xf>
    <xf numFmtId="0" fontId="15" fillId="0" borderId="22" xfId="52" applyFont="1" applyBorder="1" applyAlignment="1">
      <alignment horizontal="left"/>
      <protection/>
    </xf>
    <xf numFmtId="0" fontId="15" fillId="0" borderId="23" xfId="52" applyFont="1" applyBorder="1" applyAlignment="1">
      <alignment horizontal="left"/>
      <protection/>
    </xf>
    <xf numFmtId="0" fontId="15" fillId="19" borderId="27" xfId="52" applyFill="1" applyBorder="1" applyAlignment="1" applyProtection="1">
      <alignment horizontal="left" vertical="center"/>
      <protection locked="0"/>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legamento ipertestua" xfId="36"/>
    <cellStyle name="Hyperlink" xfId="37"/>
    <cellStyle name="Followed Hyperlink" xfId="38"/>
    <cellStyle name="Colore 1" xfId="39"/>
    <cellStyle name="Colore 2" xfId="40"/>
    <cellStyle name="Colore 3" xfId="41"/>
    <cellStyle name="Colore 4" xfId="42"/>
    <cellStyle name="Colore 5" xfId="43"/>
    <cellStyle name="Colore 6" xfId="44"/>
    <cellStyle name="Euro" xfId="45"/>
    <cellStyle name="Input" xfId="46"/>
    <cellStyle name="Comma" xfId="47"/>
    <cellStyle name="Comma [0]" xfId="48"/>
    <cellStyle name="Migliaia [0]_Vestland v 6.2 (ESTRAZIONE)" xfId="49"/>
    <cellStyle name="Migliaia_Vestland v 6.2 (ESTRAZIONE)" xfId="50"/>
    <cellStyle name="Neutrale" xfId="51"/>
    <cellStyle name="Normale_Vestland v 6.2 (ESTRAZIONE)" xfId="52"/>
    <cellStyle name="Nota" xfId="53"/>
    <cellStyle name="Output" xfId="54"/>
    <cellStyle name="Percent" xfId="55"/>
    <cellStyle name="Percentuale_Vestland v 6.2 (ESTRAZIONE)"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aypal.com/paypalme/fabriziohockey"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227"/>
  <sheetViews>
    <sheetView tabSelected="1" zoomScalePageLayoutView="0" workbookViewId="0" topLeftCell="A1">
      <selection activeCell="B29" sqref="B29"/>
    </sheetView>
  </sheetViews>
  <sheetFormatPr defaultColWidth="9.00390625" defaultRowHeight="12.75"/>
  <cols>
    <col min="1" max="1" width="14.57421875" style="3" customWidth="1"/>
    <col min="2" max="2" width="18.57421875" style="3" customWidth="1"/>
    <col min="3" max="3" width="7.7109375" style="3" customWidth="1"/>
    <col min="4" max="4" width="9.140625" style="3" customWidth="1"/>
    <col min="5" max="5" width="14.57421875" style="3" customWidth="1"/>
    <col min="6" max="6" width="13.57421875" style="3" customWidth="1"/>
    <col min="7" max="7" width="18.140625" style="3" customWidth="1"/>
    <col min="8" max="8" width="18.7109375" style="3" customWidth="1"/>
    <col min="9" max="9" width="11.00390625" style="3" customWidth="1"/>
    <col min="10" max="10" width="10.8515625" style="3" customWidth="1"/>
    <col min="11" max="11" width="10.28125" style="3" customWidth="1"/>
    <col min="12" max="12" width="1.7109375" style="3" customWidth="1"/>
    <col min="13" max="216" width="9.00390625" style="3" customWidth="1"/>
    <col min="217" max="16384" width="9.00390625" style="3" customWidth="1"/>
  </cols>
  <sheetData>
    <row r="1" spans="1:22" ht="12.75" customHeight="1" thickBot="1">
      <c r="A1" s="454" t="str">
        <f>VLOOKUP(I206,SETUP!A234:B262,2,TRUE)</f>
        <v>---</v>
      </c>
      <c r="B1" s="220"/>
      <c r="C1" s="221" t="s">
        <v>72</v>
      </c>
      <c r="D1" s="222"/>
      <c r="E1" s="222"/>
      <c r="F1" s="222"/>
      <c r="G1" s="222"/>
      <c r="H1" s="222"/>
      <c r="I1" s="584" t="s">
        <v>342</v>
      </c>
      <c r="J1" s="585"/>
      <c r="K1" s="223">
        <v>12</v>
      </c>
      <c r="L1" s="5"/>
      <c r="M1" s="5"/>
      <c r="N1" s="5"/>
      <c r="O1" s="5"/>
      <c r="P1" s="5"/>
      <c r="Q1" s="5"/>
      <c r="R1" s="5"/>
      <c r="S1" s="5"/>
      <c r="T1" s="5"/>
      <c r="U1" s="5"/>
      <c r="V1" s="5"/>
    </row>
    <row r="2" spans="1:22" ht="12.75" customHeight="1" thickBot="1">
      <c r="A2" s="498" t="s">
        <v>431</v>
      </c>
      <c r="B2" s="224"/>
      <c r="C2" s="224"/>
      <c r="D2" s="225"/>
      <c r="E2" s="226"/>
      <c r="F2" s="227"/>
      <c r="G2" s="224"/>
      <c r="H2" s="224"/>
      <c r="I2" s="224"/>
      <c r="J2" s="224"/>
      <c r="K2" s="224"/>
      <c r="L2" s="5"/>
      <c r="M2" s="5"/>
      <c r="N2" s="5"/>
      <c r="O2" s="5"/>
      <c r="P2" s="5"/>
      <c r="Q2" s="5"/>
      <c r="R2" s="5"/>
      <c r="S2" s="5"/>
      <c r="T2" s="5"/>
      <c r="U2" s="5"/>
      <c r="V2" s="5"/>
    </row>
    <row r="3" spans="1:22" ht="12.75" customHeight="1" thickBot="1">
      <c r="A3" s="579" t="s">
        <v>59</v>
      </c>
      <c r="B3" s="586" t="s">
        <v>279</v>
      </c>
      <c r="C3" s="587"/>
      <c r="D3" s="583" t="s">
        <v>280</v>
      </c>
      <c r="E3" s="583"/>
      <c r="F3" s="588"/>
      <c r="G3" s="589" t="s">
        <v>278</v>
      </c>
      <c r="H3" s="590" t="s">
        <v>259</v>
      </c>
      <c r="I3" s="591" t="s">
        <v>75</v>
      </c>
      <c r="J3" s="592" t="s">
        <v>258</v>
      </c>
      <c r="K3" s="593" t="s">
        <v>474</v>
      </c>
      <c r="L3" s="5"/>
      <c r="M3" s="5"/>
      <c r="N3" s="5"/>
      <c r="O3" s="5"/>
      <c r="P3" s="5"/>
      <c r="Q3" s="5"/>
      <c r="R3" s="5"/>
      <c r="S3" s="5"/>
      <c r="T3" s="5"/>
      <c r="U3" s="5"/>
      <c r="V3" s="5"/>
    </row>
    <row r="4" spans="1:22" ht="12.75" customHeight="1">
      <c r="A4" s="919">
        <f>FLOOR(A12*C4,1)</f>
        <v>0</v>
      </c>
      <c r="B4" s="228" t="s">
        <v>727</v>
      </c>
      <c r="C4" s="235"/>
      <c r="D4" s="921">
        <f>FLOOR((A12*F4),1)</f>
        <v>0</v>
      </c>
      <c r="E4" s="229" t="s">
        <v>731</v>
      </c>
      <c r="F4" s="230"/>
      <c r="G4" s="231"/>
      <c r="H4" s="232"/>
      <c r="I4" s="233"/>
      <c r="J4" s="234"/>
      <c r="K4" s="594">
        <f>IF((I4&lt;20),0,(IF(AND(I4&gt;19,I4&lt;81),40,IF(AND(I4&gt;80,I4&lt;401),100,IF(AND(I4&gt;400,I4&lt;1001),200,IF(AND(I4&gt;1000,I4&lt;2001),800,IF(AND(I4&gt;2000,I4&lt;5001),3000,IF(AND(I4&gt;5000,I4&lt;12001),15000))))))))+IF(AND(I4&gt;12000,I4&lt;25001),40000,IF(I4&gt;25000,100000))</f>
        <v>0</v>
      </c>
      <c r="L4" s="5"/>
      <c r="M4" s="5"/>
      <c r="N4" s="5"/>
      <c r="O4" s="5"/>
      <c r="P4" s="5"/>
      <c r="Q4" s="5"/>
      <c r="R4" s="5"/>
      <c r="S4" s="5"/>
      <c r="T4" s="5"/>
      <c r="U4" s="5"/>
      <c r="V4" s="5"/>
    </row>
    <row r="5" spans="1:22" ht="12.75" customHeight="1">
      <c r="A5" s="919">
        <f>FLOOR(A12*C5,1)</f>
        <v>0</v>
      </c>
      <c r="B5" s="228" t="s">
        <v>728</v>
      </c>
      <c r="C5" s="235"/>
      <c r="D5" s="921">
        <f>FLOOR((A12*F5),1)</f>
        <v>0</v>
      </c>
      <c r="E5" s="229" t="s">
        <v>732</v>
      </c>
      <c r="F5" s="230"/>
      <c r="G5" s="236"/>
      <c r="H5" s="232"/>
      <c r="I5" s="237"/>
      <c r="J5" s="238"/>
      <c r="K5" s="594">
        <f aca="true" t="shared" si="0" ref="K5:K11">IF((I5&lt;20),0,(IF(AND(I5&gt;19,I5&lt;81),40,IF(AND(I5&gt;80,I5&lt;401),100,IF(AND(I5&gt;400,I5&lt;1001),200,IF(AND(I5&gt;1000,I5&lt;2001),800,IF(AND(I5&gt;2000,I5&lt;5001),3000,IF(AND(I5&gt;5000,I5&lt;12001),15000))))))))+IF(AND(I5&gt;12000,I5&lt;25001),40000,IF(I5&gt;25000,100000))</f>
        <v>0</v>
      </c>
      <c r="L5" s="5"/>
      <c r="M5" s="5"/>
      <c r="N5" s="5"/>
      <c r="O5" s="5"/>
      <c r="P5" s="5"/>
      <c r="Q5" s="5"/>
      <c r="R5" s="5"/>
      <c r="S5" s="5"/>
      <c r="T5" s="5"/>
      <c r="U5" s="5"/>
      <c r="V5" s="5"/>
    </row>
    <row r="6" spans="1:22" ht="12.75" customHeight="1">
      <c r="A6" s="919">
        <f>FLOOR(A12*C6,1)</f>
        <v>0</v>
      </c>
      <c r="B6" s="228" t="s">
        <v>729</v>
      </c>
      <c r="C6" s="235"/>
      <c r="D6" s="921">
        <f>FLOOR((A12*F6),1)</f>
        <v>0</v>
      </c>
      <c r="E6" s="229" t="s">
        <v>733</v>
      </c>
      <c r="F6" s="230"/>
      <c r="G6" s="236"/>
      <c r="H6" s="232"/>
      <c r="I6" s="237"/>
      <c r="J6" s="238"/>
      <c r="K6" s="594">
        <f t="shared" si="0"/>
        <v>0</v>
      </c>
      <c r="L6" s="5"/>
      <c r="M6" s="5"/>
      <c r="N6" s="5"/>
      <c r="O6" s="5"/>
      <c r="P6" s="5"/>
      <c r="Q6" s="5"/>
      <c r="R6" s="5"/>
      <c r="S6" s="5"/>
      <c r="T6" s="5"/>
      <c r="U6" s="5"/>
      <c r="V6" s="5"/>
    </row>
    <row r="7" spans="1:22" ht="12.75" customHeight="1">
      <c r="A7" s="919">
        <f>FLOOR(A12*C7,1)</f>
        <v>0</v>
      </c>
      <c r="B7" s="228" t="s">
        <v>730</v>
      </c>
      <c r="C7" s="239"/>
      <c r="D7" s="921">
        <f>FLOOR((A12*F7),1)</f>
        <v>0</v>
      </c>
      <c r="E7" s="241" t="s">
        <v>0</v>
      </c>
      <c r="F7" s="230"/>
      <c r="G7" s="236"/>
      <c r="H7" s="240"/>
      <c r="I7" s="237"/>
      <c r="J7" s="238"/>
      <c r="K7" s="594">
        <f t="shared" si="0"/>
        <v>0</v>
      </c>
      <c r="L7" s="5"/>
      <c r="M7" s="5"/>
      <c r="N7" s="5"/>
      <c r="O7" s="5"/>
      <c r="P7" s="5"/>
      <c r="Q7" s="5"/>
      <c r="R7" s="5"/>
      <c r="S7" s="5"/>
      <c r="T7" s="5"/>
      <c r="U7" s="5"/>
      <c r="V7" s="5"/>
    </row>
    <row r="8" spans="1:22" ht="12.75" customHeight="1">
      <c r="A8" s="919">
        <f>FLOOR(A12*C8,1)</f>
        <v>0</v>
      </c>
      <c r="B8" s="228" t="s">
        <v>666</v>
      </c>
      <c r="C8" s="239"/>
      <c r="D8" s="922">
        <f>FLOOR((A12*F8),1)</f>
        <v>0</v>
      </c>
      <c r="E8" s="241" t="s">
        <v>716</v>
      </c>
      <c r="F8" s="230"/>
      <c r="G8" s="236"/>
      <c r="H8" s="232"/>
      <c r="I8" s="237"/>
      <c r="J8" s="238"/>
      <c r="K8" s="594">
        <f t="shared" si="0"/>
        <v>0</v>
      </c>
      <c r="L8" s="5"/>
      <c r="M8" s="5"/>
      <c r="N8" s="5"/>
      <c r="O8" s="5"/>
      <c r="P8" s="5"/>
      <c r="Q8" s="5"/>
      <c r="R8" s="5"/>
      <c r="S8" s="5"/>
      <c r="T8" s="5"/>
      <c r="U8" s="5"/>
      <c r="V8" s="5"/>
    </row>
    <row r="9" spans="1:22" ht="12.75" customHeight="1">
      <c r="A9" s="919">
        <f>FLOOR(A12*C9,1)</f>
        <v>0</v>
      </c>
      <c r="B9" s="228" t="s">
        <v>89</v>
      </c>
      <c r="C9" s="239"/>
      <c r="D9" s="922">
        <f>FLOOR((A12*F9),1)</f>
        <v>0</v>
      </c>
      <c r="E9" s="229" t="s">
        <v>717</v>
      </c>
      <c r="F9" s="230"/>
      <c r="G9" s="236"/>
      <c r="H9" s="240"/>
      <c r="I9" s="237"/>
      <c r="J9" s="238"/>
      <c r="K9" s="594">
        <f t="shared" si="0"/>
        <v>0</v>
      </c>
      <c r="L9" s="5"/>
      <c r="M9" s="5"/>
      <c r="N9" s="5"/>
      <c r="O9" s="5"/>
      <c r="P9" s="5"/>
      <c r="Q9" s="5"/>
      <c r="R9" s="5"/>
      <c r="S9" s="5"/>
      <c r="T9" s="5"/>
      <c r="U9" s="5"/>
      <c r="V9" s="5"/>
    </row>
    <row r="10" spans="1:22" ht="12.75" customHeight="1">
      <c r="A10" s="919">
        <f>FLOOR(A12*C10,1)</f>
        <v>0</v>
      </c>
      <c r="B10" s="228" t="s">
        <v>89</v>
      </c>
      <c r="C10" s="239"/>
      <c r="D10" s="922">
        <f>FLOOR((A12*F10),1)</f>
        <v>0</v>
      </c>
      <c r="E10" s="229" t="s">
        <v>718</v>
      </c>
      <c r="F10" s="230"/>
      <c r="G10" s="242"/>
      <c r="H10" s="243"/>
      <c r="I10" s="237"/>
      <c r="J10" s="238"/>
      <c r="K10" s="594">
        <f t="shared" si="0"/>
        <v>0</v>
      </c>
      <c r="L10" s="5"/>
      <c r="M10" s="5"/>
      <c r="N10" s="5"/>
      <c r="O10" s="5"/>
      <c r="P10" s="5"/>
      <c r="Q10" s="5"/>
      <c r="R10" s="5"/>
      <c r="S10" s="5"/>
      <c r="T10" s="5"/>
      <c r="U10" s="5"/>
      <c r="V10" s="5"/>
    </row>
    <row r="11" spans="1:22" ht="12.75" customHeight="1" thickBot="1">
      <c r="A11" s="920">
        <f>A12-(SUM(A4:A10))</f>
        <v>0</v>
      </c>
      <c r="B11" s="244" t="s">
        <v>810</v>
      </c>
      <c r="C11" s="923">
        <f>100%-(C4+C5+C6+C7+C8+C9+C10)</f>
        <v>1</v>
      </c>
      <c r="D11" s="920">
        <f>A12-(SUM(D4:D10))</f>
        <v>0</v>
      </c>
      <c r="E11" s="245" t="s">
        <v>695</v>
      </c>
      <c r="F11" s="924">
        <f>100%-(F4+F5+F6+F7+F8+F9+F10)</f>
        <v>1</v>
      </c>
      <c r="G11" s="246"/>
      <c r="H11" s="247"/>
      <c r="I11" s="248"/>
      <c r="J11" s="249"/>
      <c r="K11" s="594">
        <f t="shared" si="0"/>
        <v>0</v>
      </c>
      <c r="L11" s="5"/>
      <c r="M11" s="5"/>
      <c r="N11" s="5"/>
      <c r="O11" s="5"/>
      <c r="P11" s="5"/>
      <c r="Q11" s="5"/>
      <c r="R11" s="5"/>
      <c r="S11" s="5"/>
      <c r="T11" s="5"/>
      <c r="U11" s="5"/>
      <c r="V11" s="5"/>
    </row>
    <row r="12" spans="1:22" ht="12.75" customHeight="1" thickBot="1">
      <c r="A12" s="580">
        <f>(SUM(E14:E24))+(SUM(G14:G24))</f>
        <v>0</v>
      </c>
      <c r="B12" s="581" t="s">
        <v>340</v>
      </c>
      <c r="C12" s="582" t="s">
        <v>432</v>
      </c>
      <c r="D12" s="250">
        <v>0</v>
      </c>
      <c r="E12" s="609" t="s">
        <v>503</v>
      </c>
      <c r="F12" s="610"/>
      <c r="G12" s="782" t="s">
        <v>806</v>
      </c>
      <c r="H12" s="783"/>
      <c r="I12" s="602" t="s">
        <v>261</v>
      </c>
      <c r="J12" s="455"/>
      <c r="K12" s="456">
        <f>VLOOKUP(I204,SETUP!A225:C231,3,TRUE)</f>
        <v>8</v>
      </c>
      <c r="L12" s="5"/>
      <c r="M12" s="5"/>
      <c r="N12" s="5"/>
      <c r="O12" s="5"/>
      <c r="P12" s="5"/>
      <c r="Q12" s="5"/>
      <c r="R12" s="5"/>
      <c r="S12" s="5"/>
      <c r="T12" s="5"/>
      <c r="U12" s="5"/>
      <c r="V12" s="5"/>
    </row>
    <row r="13" spans="1:22" ht="12.75" customHeight="1" thickBot="1">
      <c r="A13" s="457" t="s">
        <v>361</v>
      </c>
      <c r="B13" s="614"/>
      <c r="C13" s="615" t="s">
        <v>269</v>
      </c>
      <c r="D13" s="616" t="s">
        <v>268</v>
      </c>
      <c r="E13" s="611" t="s">
        <v>359</v>
      </c>
      <c r="F13" s="612"/>
      <c r="G13" s="611" t="s">
        <v>360</v>
      </c>
      <c r="H13" s="613"/>
      <c r="I13" s="603" t="s">
        <v>267</v>
      </c>
      <c r="J13" s="600" t="s">
        <v>271</v>
      </c>
      <c r="K13" s="595" t="s">
        <v>272</v>
      </c>
      <c r="L13" s="5"/>
      <c r="M13" s="5"/>
      <c r="N13" s="5"/>
      <c r="O13" s="5"/>
      <c r="P13" s="5"/>
      <c r="Q13" s="5"/>
      <c r="R13" s="5"/>
      <c r="S13" s="5"/>
      <c r="T13" s="5"/>
      <c r="U13" s="5"/>
      <c r="V13" s="5"/>
    </row>
    <row r="14" spans="1:22" ht="12.75" customHeight="1">
      <c r="A14" s="575" t="str">
        <f>(IF(H208=1,"gruppo esagoni 1",IF(H208&gt;1,VLOOKUP(I208,SETUP!A265:B314,2,TRUE))))</f>
        <v>gruppo esagoni 1</v>
      </c>
      <c r="B14" s="252"/>
      <c r="C14" s="253"/>
      <c r="D14" s="500" t="str">
        <f>IF(C14=0,"NO ESA",IF(E14=0,"NO POP.",IF(E14&gt;0,ROUND(IF(VLOOKUP(I204,SETUP!A225:J231,1),E14/C14/VLOOKUP(I204,SETUP!A225:J231,4)),2))))</f>
        <v>NO ESA</v>
      </c>
      <c r="E14" s="254"/>
      <c r="F14" s="255"/>
      <c r="G14" s="254"/>
      <c r="H14" s="256"/>
      <c r="I14" s="604">
        <f>(FLOOR((((E14+G14)/5-((E14+G14)/5*D12))),1))-(FLOOR(((((E14+G14)/5)-((E14+G14)/5*D12))*C25),1))</f>
        <v>0</v>
      </c>
      <c r="J14" s="501">
        <f>(FLOOR(IF(C14&gt;0,IF(K12=1,((VLOOKUP(I208,SETUP!A265:J314,3)*C14/64)-(F14+H14)))+IF(K12=2,((VLOOKUP(I208,SETUP!A265:J314,3)*C14/16)-(F14+H14)))+IF(K12=4,((VLOOKUP(I208,SETUP!A265:J314,3)*C14/4)-(F14+H14)))+IF(K12=8,((VLOOKUP(I208,SETUP!A265:J314,3)*C14)-(F14+H14)))+IF(K12=24,((VLOOKUP(I208,SETUP!A265:J314,3)*C14*9)-(F14+H14)))+IF(K12=72,((VLOOKUP(I208,SETUP!A265:J314,3)*C14*81)-(F14+H14)))),1))</f>
        <v>0</v>
      </c>
      <c r="K14" s="596">
        <f>IF((A29+A30)&lt;1,J14,IF((A29+A30)&gt;0,J14-(J29*(A29+A30))))</f>
        <v>0</v>
      </c>
      <c r="L14" s="5"/>
      <c r="M14" s="5"/>
      <c r="N14" s="5"/>
      <c r="O14" s="5"/>
      <c r="P14" s="5"/>
      <c r="Q14" s="5"/>
      <c r="R14" s="5"/>
      <c r="S14" s="5"/>
      <c r="T14" s="5"/>
      <c r="U14" s="5"/>
      <c r="V14" s="5"/>
    </row>
    <row r="15" spans="1:22" ht="12.75" customHeight="1">
      <c r="A15" s="576" t="str">
        <f>(IF(H209=1,"gruppo esagoni 2",IF(H209&gt;1,VLOOKUP(I209,SETUP!A265:B314,2,TRUE))))</f>
        <v>gruppo esagoni 2</v>
      </c>
      <c r="B15" s="257"/>
      <c r="C15" s="253"/>
      <c r="D15" s="502" t="str">
        <f>IF(C15=0,"NO ESA",IF(E15=0,"NO POP.",IF(E15&gt;0,ROUND(IF(VLOOKUP(I204,SETUP!A225:J231,1),E15/C15/VLOOKUP(I204,SETUP!A225:J231,4)),2))))</f>
        <v>NO ESA</v>
      </c>
      <c r="E15" s="254"/>
      <c r="F15" s="255"/>
      <c r="G15" s="254"/>
      <c r="H15" s="256"/>
      <c r="I15" s="605">
        <f>(FLOOR((((E15+G15)/5-((E15+G15)/5*D12))),1))-(FLOOR(((((E15+G15)/5)-((E15+G15)/5*D12))*C25),1))</f>
        <v>0</v>
      </c>
      <c r="J15" s="503">
        <f>(FLOOR(IF(C15&gt;0,IF(K12=1,((VLOOKUP(I209,SETUP!A265:J314,3)*C15/64)-(F15+H15)))+IF(K12=2,((VLOOKUP(I209,SETUP!A265:J314,3)*C15/16)-(F15+H15)))+IF(K12=4,((VLOOKUP(I209,SETUP!A265:J314,3)*C15/4)-(F15+H15)))+IF(K12=8,((VLOOKUP(I209,SETUP!A265:J314,3)*C15)-(F15+H15)))+IF(K12=24,((VLOOKUP(I209,SETUP!A265:J314,3)*C15*9)-(F15+H15)))+IF(K12=72,((VLOOKUP(I209,SETUP!A265:J314,3)*C15*81)-(F15+H15)))),1))</f>
        <v>0</v>
      </c>
      <c r="K15" s="597">
        <f>IF((A31+A32)&lt;1,J15,IF((A31+A32)&gt;0,J15-(J31*(A31+A32))))</f>
        <v>0</v>
      </c>
      <c r="L15" s="5"/>
      <c r="M15" s="5"/>
      <c r="N15" s="5"/>
      <c r="O15" s="5"/>
      <c r="P15" s="5"/>
      <c r="Q15" s="5"/>
      <c r="R15" s="5"/>
      <c r="S15" s="5"/>
      <c r="T15" s="5"/>
      <c r="U15" s="5"/>
      <c r="V15" s="5"/>
    </row>
    <row r="16" spans="1:22" ht="12.75" customHeight="1">
      <c r="A16" s="575" t="str">
        <f>(IF(H210=1,"gruppo esagoni 3",IF(H210&gt;1,VLOOKUP(I210,SETUP!A265:B314,2,TRUE))))</f>
        <v>gruppo esagoni 3</v>
      </c>
      <c r="B16" s="252"/>
      <c r="C16" s="253"/>
      <c r="D16" s="500" t="str">
        <f>IF(C16=0,"NO ESA",IF(E16=0,"NO POP.",IF(E16&gt;0,ROUND(IF(VLOOKUP(I204,SETUP!A225:J231,1),E16/C16/VLOOKUP(I204,SETUP!A225:J231,4)),2))))</f>
        <v>NO ESA</v>
      </c>
      <c r="E16" s="254"/>
      <c r="F16" s="255"/>
      <c r="G16" s="258"/>
      <c r="H16" s="256"/>
      <c r="I16" s="606">
        <f>(FLOOR((((E16+G16)/5-((E16+G16)/5*D12))),1))-(FLOOR(((((E16+G16)/5)-((E16+G16)/5*D12))*C25),1))</f>
        <v>0</v>
      </c>
      <c r="J16" s="501">
        <f>(FLOOR(IF(C16&gt;0,IF(K12=1,((VLOOKUP(I210,SETUP!A265:J314,3)*C16/64)-(F16+H16)))+IF(K12=2,((VLOOKUP(I210,SETUP!A265:J314,3)*C16/16)-(F16+H16)))+IF(K12=4,((VLOOKUP(I210,SETUP!A265:J314,3)*C16/4)-(F16+H16)))+IF(K12=8,((VLOOKUP(I210,SETUP!A265:J314,3)*C16)-(F16+H16)))+IF(K12=24,((VLOOKUP(I210,SETUP!A265:J314,3)*C16*9)-(F16+H16)))+IF(K12=72,((VLOOKUP(I210,SETUP!A265:J314,3)*C16*81)-(F16+H16)))),1))</f>
        <v>0</v>
      </c>
      <c r="K16" s="596">
        <f>IF((A33+A34)&lt;1,J16,IF((A33+A34)&gt;0,J16-(J33*(A33+A34))))</f>
        <v>0</v>
      </c>
      <c r="L16" s="5"/>
      <c r="M16" s="5"/>
      <c r="N16" s="5"/>
      <c r="O16" s="5"/>
      <c r="P16" s="5"/>
      <c r="Q16" s="5"/>
      <c r="R16" s="5"/>
      <c r="S16" s="5"/>
      <c r="T16" s="5"/>
      <c r="U16" s="5"/>
      <c r="V16" s="5"/>
    </row>
    <row r="17" spans="1:22" ht="12.75" customHeight="1">
      <c r="A17" s="576" t="str">
        <f>(IF(H211=1,"gruppo esagoni 4",IF(H211&gt;1,VLOOKUP(I211,SETUP!A265:B314,2,TRUE))))</f>
        <v>gruppo esagoni 4</v>
      </c>
      <c r="B17" s="252"/>
      <c r="C17" s="253"/>
      <c r="D17" s="502" t="str">
        <f>IF(C17=0,"NO ESA",IF(E17=0,"NO POP.",IF(E17&gt;0,ROUND(IF(VLOOKUP(I204,SETUP!A225:J231,1),E17/C17/VLOOKUP(I204,SETUP!A225:J231,4)),2))))</f>
        <v>NO ESA</v>
      </c>
      <c r="E17" s="254"/>
      <c r="F17" s="255"/>
      <c r="G17" s="258"/>
      <c r="H17" s="256"/>
      <c r="I17" s="607">
        <f>(FLOOR((((E17+G17)/5-((E17+G17)/5*D12))),1))-(FLOOR(((((E17+G17)/5)-((E17+G17)/5*D12))*C25),1))</f>
        <v>0</v>
      </c>
      <c r="J17" s="503">
        <f>(FLOOR(IF(C17&gt;0,IF(K12=1,((VLOOKUP(I211,SETUP!A265:J314,3)*C17/64)-(F17+H17)))+IF(K12=2,((VLOOKUP(I211,SETUP!A265:J314,3)*C17/16)-(F17+H17)))+IF(K12=4,((VLOOKUP(I211,SETUP!A265:J314,3)*C17/4)-(F17+H17)))+IF(K12=8,((VLOOKUP(I211,SETUP!A265:J314,3)*C17)-(F17+H17)))+IF(K12=24,((VLOOKUP(I211,SETUP!A265:J314,3)*C17*9)-(F17+H17)))+IF(K12=72,((VLOOKUP(I211,SETUP!A265:J314,3)*C17*81)-(F17+H17)))),1))</f>
        <v>0</v>
      </c>
      <c r="K17" s="597">
        <f>IF((A35+A36)&lt;1,J17,IF((A35+A36)&gt;0,J17-(J35*(A35+A36))))</f>
        <v>0</v>
      </c>
      <c r="L17" s="5"/>
      <c r="M17" s="5"/>
      <c r="N17" s="5"/>
      <c r="O17" s="5"/>
      <c r="P17" s="5"/>
      <c r="Q17" s="5"/>
      <c r="R17" s="5"/>
      <c r="S17" s="5"/>
      <c r="T17" s="5"/>
      <c r="U17" s="5"/>
      <c r="V17" s="5"/>
    </row>
    <row r="18" spans="1:22" ht="12.75" customHeight="1">
      <c r="A18" s="575" t="str">
        <f>(IF(H212=1,"gruppo esagoni 5",IF(H212&gt;1,VLOOKUP(I212,SETUP!A265:B314,2,TRUE))))</f>
        <v>gruppo esagoni 5</v>
      </c>
      <c r="B18" s="252"/>
      <c r="C18" s="253"/>
      <c r="D18" s="500" t="str">
        <f>IF(C18=0,"NO ESA",IF(E18=0,"NO POP.",IF(E18&gt;0,ROUND(IF(VLOOKUP(I204,SETUP!A225:J231,1),E18/C18/VLOOKUP(I204,SETUP!A225:J231,4)),2))))</f>
        <v>NO ESA</v>
      </c>
      <c r="E18" s="254"/>
      <c r="F18" s="255"/>
      <c r="G18" s="258"/>
      <c r="H18" s="256"/>
      <c r="I18" s="606">
        <f>(FLOOR((((E18+G18)/5-((E18+G18)/5*D12))),1))-(FLOOR(((((E18+G18)/5)-((E18+G18)/5*D12))*C25),1))</f>
        <v>0</v>
      </c>
      <c r="J18" s="501">
        <f>(FLOOR(IF(C18&gt;0,IF(K12=1,((VLOOKUP(I212,SETUP!A265:J314,3)*C18/64)-(F18+H18)))+IF(K12=2,((VLOOKUP(I212,SETUP!A265:J314,3)*C18/16)-(F18+H18)))+IF(K12=4,((VLOOKUP(I212,SETUP!A265:J314,3)*C18/4)-(F18+H18)))+IF(K12=8,((VLOOKUP(I212,SETUP!A265:J314,3)*C18)-(F18+H18)))+IF(K12=24,((VLOOKUP(I212,SETUP!A265:J314,3)*C18*9)-(F18+H18)))+IF(K12=72,((VLOOKUP(I212,SETUP!A265:J314,3)*C18*81)-(F18+H18)))),1))</f>
        <v>0</v>
      </c>
      <c r="K18" s="596">
        <f>IF((A37+A38)&lt;1,J18,IF((A37+A38)&gt;0,J18-(J37*(A37+A38))))</f>
        <v>0</v>
      </c>
      <c r="L18" s="5"/>
      <c r="M18" s="5"/>
      <c r="N18" s="5"/>
      <c r="O18" s="5"/>
      <c r="P18" s="5"/>
      <c r="Q18" s="5"/>
      <c r="R18" s="5"/>
      <c r="S18" s="5"/>
      <c r="T18" s="5"/>
      <c r="U18" s="5"/>
      <c r="V18" s="5"/>
    </row>
    <row r="19" spans="1:22" ht="12.75" customHeight="1">
      <c r="A19" s="576" t="str">
        <f>(IF(H213=1,"gruppo esagoni 6",IF(H213&gt;1,VLOOKUP(I213,SETUP!A265:B314,2,TRUE))))</f>
        <v>gruppo esagoni 6</v>
      </c>
      <c r="B19" s="257"/>
      <c r="C19" s="253"/>
      <c r="D19" s="502" t="str">
        <f>IF(C19=0,"NO ESA",IF(E19=0,"NO POP.",IF(E19&gt;0,ROUND(IF(VLOOKUP(I204,SETUP!A225:J231,1),E19/C19/VLOOKUP(I204,SETUP!A225:J231,4)),2))))</f>
        <v>NO ESA</v>
      </c>
      <c r="E19" s="258"/>
      <c r="F19" s="259"/>
      <c r="G19" s="254"/>
      <c r="H19" s="256"/>
      <c r="I19" s="605">
        <f>(FLOOR((((E19+G19)/5-((E19+G19)/5*D12))),1))-(FLOOR(((((E19+G19)/5)-((E19+G19)/5*D12))*C25),1))</f>
        <v>0</v>
      </c>
      <c r="J19" s="503">
        <f>(FLOOR(IF(C19&gt;0,IF(K12=1,((VLOOKUP(I213,SETUP!A265:J314,3)*C19/64)-(F19+H19)))+IF(K12=2,((VLOOKUP(I213,SETUP!A265:J314,3)*C19/16)-(F19+H19)))+IF(K12=4,((VLOOKUP(I213,SETUP!A265:J314,3)*C19/4)-(F19+H19)))+IF(K12=8,((VLOOKUP(I213,SETUP!A265:J314,3)*C19)-(F19+H19)))+IF(K12=24,((VLOOKUP(I213,SETUP!A265:J314,3)*C19*9)-(F19+H19)))+IF(K12=72,((VLOOKUP(I213,SETUP!A265:J314,3)*C19*81)-(F19+H19)))),1))</f>
        <v>0</v>
      </c>
      <c r="K19" s="597">
        <f>IF((A39+A40)&lt;1,J19,IF((A39+A40)&gt;0,J19-(J39*(A39+A40))))</f>
        <v>0</v>
      </c>
      <c r="L19" s="5"/>
      <c r="M19" s="5"/>
      <c r="N19" s="5"/>
      <c r="O19" s="5"/>
      <c r="P19" s="5"/>
      <c r="Q19" s="5"/>
      <c r="R19" s="5"/>
      <c r="S19" s="5"/>
      <c r="T19" s="5"/>
      <c r="U19" s="5"/>
      <c r="V19" s="5"/>
    </row>
    <row r="20" spans="1:22" ht="12.75" customHeight="1">
      <c r="A20" s="575" t="str">
        <f>(IF(H214=1,"gruppo esagoni 7",IF(H214&gt;1,VLOOKUP(I214,SETUP!A265:B314,2,TRUE))))</f>
        <v>gruppo esagoni 7</v>
      </c>
      <c r="B20" s="257"/>
      <c r="C20" s="253"/>
      <c r="D20" s="500" t="str">
        <f>IF(C20=0,"NO ESA",IF(E20=0,"NO POP.",IF(E20&gt;0,ROUND(IF(VLOOKUP(I204,SETUP!A225:J231,1),E20/C20/VLOOKUP(I204,SETUP!A225:J231,4)),2))))</f>
        <v>NO ESA</v>
      </c>
      <c r="E20" s="258"/>
      <c r="F20" s="260"/>
      <c r="G20" s="261"/>
      <c r="H20" s="256"/>
      <c r="I20" s="606">
        <f>(FLOOR((((E20+G20)/5-((E20+G20)/5*D12))),1))-(FLOOR(((((E20+G20)/5)-((E20+G20)/5*D12))*C25),1))</f>
        <v>0</v>
      </c>
      <c r="J20" s="501">
        <f>(FLOOR(IF(C20&gt;0,IF(K12=1,((VLOOKUP(I214,SETUP!A265:J314,3)*C20/64)-(F20+H20)))+IF(K12=2,((VLOOKUP(I214,SETUP!A265:J314,3)*C20/16)-(F20+H20)))+IF(K12=4,((VLOOKUP(I214,SETUP!A265:J314,3)*C20/4)-(F20+H20)))+IF(K12=8,((VLOOKUP(I214,SETUP!A265:J314,3)*C20)-(F20+H20)))+IF(K12=24,((VLOOKUP(I214,SETUP!A265:J314,3)*C20*9)-(F20+H20)))+IF(K12=72,((VLOOKUP(I214,SETUP!A265:J314,3)*C20*81)-(F20+H20)))),1))</f>
        <v>0</v>
      </c>
      <c r="K20" s="596">
        <f>IF((A41+A42)&lt;1,J20,IF((A41+A42)&gt;0,J20-(J41*(A41+A42))))</f>
        <v>0</v>
      </c>
      <c r="L20" s="5"/>
      <c r="M20" s="5"/>
      <c r="N20" s="5"/>
      <c r="O20" s="5"/>
      <c r="P20" s="5"/>
      <c r="Q20" s="5"/>
      <c r="R20" s="5"/>
      <c r="S20" s="5"/>
      <c r="T20" s="5"/>
      <c r="U20" s="5"/>
      <c r="V20" s="5"/>
    </row>
    <row r="21" spans="1:22" ht="12.75" customHeight="1">
      <c r="A21" s="576" t="str">
        <f>(IF(H215=1,"gruppo esagoni 8",IF(H215&gt;1,VLOOKUP(I215,SETUP!A265:B314,2,TRUE))))</f>
        <v>gruppo esagoni 8</v>
      </c>
      <c r="B21" s="262"/>
      <c r="C21" s="263"/>
      <c r="D21" s="502" t="str">
        <f>IF(C21=0,"NO ESA",IF(E21=0,"NO POP.",IF(E21&gt;0,ROUND(IF(VLOOKUP(I204,SETUP!A225:J231,1),E21/C21/VLOOKUP(I204,SETUP!A225:J231,4)),2))))</f>
        <v>NO ESA</v>
      </c>
      <c r="E21" s="254"/>
      <c r="F21" s="260"/>
      <c r="G21" s="264"/>
      <c r="H21" s="256"/>
      <c r="I21" s="605">
        <f>(FLOOR((((E21+G21)/5-((E21+G21)/5*D12))),1))-(FLOOR(((((E21+G21)/5)-((E21+G21)/5*D12))*C25),1))</f>
        <v>0</v>
      </c>
      <c r="J21" s="503">
        <f>(FLOOR(IF(C21&gt;0,IF(K12=1,((VLOOKUP(I215,SETUP!A265:J314,3)*C21/64)-(F21+H21)))+IF(K12=2,((VLOOKUP(I215,SETUP!A265:J314,3)*C21/16)-(F21+H21)))+IF(K12=4,((VLOOKUP(I215,SETUP!A265:J314,3)*C21/4)-(F21+H21)))+IF(K12=8,((VLOOKUP(I215,SETUP!A265:J314,3)*C21)-(F21+H21)))+IF(K12=24,((VLOOKUP(I215,SETUP!A265:J314,3)*C21*9)-(F21+H21)))+IF(K12=72,((VLOOKUP(I215,SETUP!A265:J314,3)*C21*81)-(F21+H21)))),1))</f>
        <v>0</v>
      </c>
      <c r="K21" s="597">
        <f>IF((A43+A44)&lt;1,J21,IF((A43+A44)&gt;0,J21-(J43*(A43+A44))))</f>
        <v>0</v>
      </c>
      <c r="L21" s="5"/>
      <c r="M21" s="5"/>
      <c r="N21" s="5"/>
      <c r="O21" s="5"/>
      <c r="P21" s="5"/>
      <c r="Q21" s="5"/>
      <c r="R21" s="5"/>
      <c r="S21" s="5"/>
      <c r="T21" s="5"/>
      <c r="U21" s="5"/>
      <c r="V21" s="5"/>
    </row>
    <row r="22" spans="1:22" ht="12.75" customHeight="1">
      <c r="A22" s="575" t="str">
        <f>(IF(H216=1,"gruppo esagoni 9",IF(H216&gt;1,VLOOKUP(I216,SETUP!A265:B314,2,TRUE))))</f>
        <v>gruppo esagoni 9</v>
      </c>
      <c r="B22" s="265"/>
      <c r="C22" s="263"/>
      <c r="D22" s="500" t="str">
        <f>IF(C22=0,"NO ESA",IF(E22=0,"NO POP.",IF(E22&gt;0,ROUND(IF(VLOOKUP(I204,SETUP!A225:J231,1),E22/C22/VLOOKUP(I204,SETUP!A225:J231,4)),2))))</f>
        <v>NO ESA</v>
      </c>
      <c r="E22" s="265"/>
      <c r="F22" s="260"/>
      <c r="G22" s="265"/>
      <c r="H22" s="256"/>
      <c r="I22" s="606">
        <f>(FLOOR((((E22+G22)/5-((E22+G22)/5*D12))),1))-(FLOOR(((((E22+G22)/5)-((E22+G22)/5*D12))*C25),1))</f>
        <v>0</v>
      </c>
      <c r="J22" s="501">
        <f>(FLOOR(IF(C22&gt;0,IF(K12=1,((VLOOKUP(I216,SETUP!A265:J314,3)*C22/64)-(F22+H22)))+IF(K12=2,((VLOOKUP(I216,SETUP!A265:J314,3)*C22/16)-(F22+H22)))+IF(K12=4,((VLOOKUP(I216,SETUP!A265:J314,3)*C22/4)-(F22+H22)))+IF(K12=8,((VLOOKUP(I216,SETUP!A265:J314,3)*C22)-(F22+H22)))+IF(K12=24,((VLOOKUP(I216,SETUP!A265:J314,3)*C22*9)-(F22+H22)))+IF(K12=72,((VLOOKUP(I216,SETUP!A265:J314,3)*C22*81)-(F22+H22)))),1))</f>
        <v>0</v>
      </c>
      <c r="K22" s="596">
        <f>IF((A45+A46)&lt;1,J22,IF((A45+A46)&gt;0,J22-(J45*(A45+A46))))</f>
        <v>0</v>
      </c>
      <c r="L22" s="5"/>
      <c r="M22" s="5"/>
      <c r="N22" s="5"/>
      <c r="O22" s="5"/>
      <c r="P22" s="5"/>
      <c r="Q22" s="5"/>
      <c r="R22" s="5"/>
      <c r="S22" s="5"/>
      <c r="T22" s="5"/>
      <c r="U22" s="5"/>
      <c r="V22" s="5"/>
    </row>
    <row r="23" spans="1:22" ht="12.75" customHeight="1">
      <c r="A23" s="576" t="str">
        <f>(IF(H217=1,"gruppo esagoni 10",IF(H217&gt;1,VLOOKUP(I217,SETUP!A265:B314,2,TRUE))))</f>
        <v>gruppo esagoni 10</v>
      </c>
      <c r="B23" s="266"/>
      <c r="C23" s="263"/>
      <c r="D23" s="502" t="str">
        <f>IF(C23=0,"NO ESA",IF(E23=0,"NO POP.",IF(E23&gt;0,ROUND(IF(VLOOKUP(I204,SETUP!A225:J231,1),E23/C23/VLOOKUP(I204,SETUP!A225:J231,4)),2))))</f>
        <v>NO ESA</v>
      </c>
      <c r="E23" s="266"/>
      <c r="F23" s="260"/>
      <c r="G23" s="266"/>
      <c r="H23" s="256"/>
      <c r="I23" s="605">
        <f>(FLOOR((((E23+G23)/5-((E23+G23)/5*D12))),1))-(FLOOR(((((E23+G23)/5)-((E23+G23)/5*D12))*C25),1))</f>
        <v>0</v>
      </c>
      <c r="J23" s="503">
        <f>(FLOOR(IF(C23&gt;0,IF(K12=1,((VLOOKUP(I217,SETUP!A265:J314,3)*C23/64)-(F23+H23)))+IF(K12=2,((VLOOKUP(I217,SETUP!A265:J314,3)*C23/16)-(F23+H23)))+IF(K12=4,((VLOOKUP(I217,SETUP!A265:J314,3)*C23/4)-(F23+H23)))+IF(K12=8,((VLOOKUP(I217,SETUP!A265:J314,3)*C23)-(F23+H23)))+IF(K12=24,((VLOOKUP(I217,SETUP!A265:J314,3)*C23*9)-(F23+H23)))+IF(K13=72,((VLOOKUP(I217,SETUP!A265:J314,3)*C23*81)-(F23+H23)))),1))</f>
        <v>0</v>
      </c>
      <c r="K23" s="597">
        <f>IF((A47+A48)&lt;1,J23,IF((A47+A48)&gt;0,J23-(J47*(A47+A48))))</f>
        <v>0</v>
      </c>
      <c r="L23" s="5"/>
      <c r="M23" s="5"/>
      <c r="N23" s="5"/>
      <c r="O23" s="5"/>
      <c r="P23" s="5"/>
      <c r="Q23" s="5"/>
      <c r="R23" s="5"/>
      <c r="S23" s="5"/>
      <c r="T23" s="5"/>
      <c r="U23" s="5"/>
      <c r="V23" s="5"/>
    </row>
    <row r="24" spans="1:22" ht="12.75" customHeight="1" thickBot="1">
      <c r="A24" s="575" t="str">
        <f>(IF(H218=1,"gruppo esagoni 11",IF(H218&gt;1,VLOOKUP(I218,SETUP!A265:B314,2,TRUE))))</f>
        <v>gruppo esagoni 11</v>
      </c>
      <c r="B24" s="267"/>
      <c r="C24" s="263"/>
      <c r="D24" s="504" t="str">
        <f>IF(C24=0,"NO ESA",IF(E24=0,"NO POP.",IF(E24&gt;0,ROUND(IF(VLOOKUP(I204,SETUP!A225:J231,1),E24/C24/VLOOKUP(I204,SETUP!A225:J231,4)),2))))</f>
        <v>NO ESA</v>
      </c>
      <c r="E24" s="268"/>
      <c r="F24" s="269"/>
      <c r="G24" s="268"/>
      <c r="H24" s="270"/>
      <c r="I24" s="608">
        <f>(FLOOR((((E24+G24)/5-((E24+G24)/5*D12))),1))-(FLOOR(((((E24+G24)/5)-((E24+G24)/5*D12))*C25),1))</f>
        <v>0</v>
      </c>
      <c r="J24" s="505">
        <f>(FLOOR(IF(C24&gt;0,IF(K12=1,((VLOOKUP(I218,SETUP!A265:J314,3)*C24/64)-(F24+H24)))+IF(K12=2,((VLOOKUP(I218,SETUP!A265:J314,3)*C24/16)-(F24+H24)))+IF(K12=4,((VLOOKUP(I218,SETUP!A265:J314,3)*C24/4)-(F24+H24)))+IF(K12=8,((VLOOKUP(I218,SETUP!A265:J314,3)*C24)-(F24+H24)))+IF(K12=24,((VLOOKUP(I218,SETUP!A265:J314,3)*C24*9)-(F24+H24)))+IF(K12=72,((VLOOKUP(I218,SETUP!A265:J314,3)*C24*81)-(F24+H24)))),1))</f>
        <v>0</v>
      </c>
      <c r="K24" s="598">
        <f>IF((A49+A50)&lt;1,J24,IF((A49+A50)&gt;0,J24-(J49*(A49+A50))))</f>
        <v>0</v>
      </c>
      <c r="L24" s="164"/>
      <c r="M24" s="5"/>
      <c r="N24" s="5"/>
      <c r="O24" s="5"/>
      <c r="P24" s="5"/>
      <c r="Q24" s="5"/>
      <c r="R24" s="5"/>
      <c r="S24" s="5"/>
      <c r="T24" s="5"/>
      <c r="U24" s="5"/>
      <c r="V24" s="5"/>
    </row>
    <row r="25" spans="1:22" ht="12.75" customHeight="1" thickBot="1">
      <c r="A25" s="618" t="s">
        <v>315</v>
      </c>
      <c r="B25" s="619"/>
      <c r="C25" s="271">
        <v>0.05</v>
      </c>
      <c r="D25" s="617">
        <f>A12-(FLOOR(A12*D12,1))-((SUM(I14:I24))*5)</f>
        <v>0</v>
      </c>
      <c r="E25" s="620" t="s">
        <v>511</v>
      </c>
      <c r="F25" s="458"/>
      <c r="G25" s="459" t="str">
        <f>VLOOKUP(I186,SETUP!A149:C155,2,TRUE)</f>
        <v>rurale</v>
      </c>
      <c r="H25" s="621" t="s">
        <v>509</v>
      </c>
      <c r="I25" s="272"/>
      <c r="J25" s="601" t="s">
        <v>260</v>
      </c>
      <c r="K25" s="599">
        <f>IF((VLOOKUP(I186,SETUP!A149:C155,3,TRUE))=1,I25/25*(VLOOKUP(I186,SETUP!A149:C155,3,TRUE)),IF(I25&lt;1000,I25/25*(VLOOKUP(I186,SETUP!A149:C155,3,TRUE)),IF(I25&lt;5000,I25/35*(VLOOKUP(I186,SETUP!A149:C155,3,TRUE)),IF(I25&lt;15000,I25/50*(VLOOKUP(I186,SETUP!A149:C155,3,TRUE)),IF(I25&lt;50000,I25/70*(VLOOKUP(I186,SETUP!A149:C155,3,TRUE)),IF(I25&lt;100000,I25/100*(VLOOKUP(I186,SETUP!A149:C155,3,TRUE)),IF(I25&gt;99999,I25/150*(VLOOKUP(I186,SETUP!A149:C155,3,TRUE)))))))))</f>
        <v>0</v>
      </c>
      <c r="L25" s="5"/>
      <c r="M25" s="5"/>
      <c r="N25" s="5"/>
      <c r="O25" s="5"/>
      <c r="P25" s="5"/>
      <c r="Q25" s="5"/>
      <c r="R25" s="5"/>
      <c r="S25" s="5"/>
      <c r="T25" s="5"/>
      <c r="U25" s="5"/>
      <c r="V25" s="5"/>
    </row>
    <row r="26" spans="1:22" ht="3" customHeight="1" thickBot="1">
      <c r="A26" s="273"/>
      <c r="B26" s="273"/>
      <c r="C26" s="274"/>
      <c r="D26" s="273"/>
      <c r="E26" s="275"/>
      <c r="F26" s="276"/>
      <c r="G26" s="224"/>
      <c r="H26" s="277"/>
      <c r="I26" s="278"/>
      <c r="J26" s="279"/>
      <c r="K26" s="280"/>
      <c r="L26" s="5"/>
      <c r="M26" s="5"/>
      <c r="N26" s="5"/>
      <c r="O26" s="5"/>
      <c r="P26" s="5"/>
      <c r="Q26" s="5"/>
      <c r="R26" s="5"/>
      <c r="S26" s="5"/>
      <c r="T26" s="5"/>
      <c r="U26" s="5"/>
      <c r="V26" s="5"/>
    </row>
    <row r="27" spans="1:22" ht="12.75" customHeight="1" thickBot="1">
      <c r="A27" s="772" t="s">
        <v>60</v>
      </c>
      <c r="B27" s="768" t="s">
        <v>475</v>
      </c>
      <c r="C27" s="769"/>
      <c r="D27" s="769"/>
      <c r="E27" s="769"/>
      <c r="F27" s="769"/>
      <c r="G27" s="770"/>
      <c r="H27" s="771" t="s">
        <v>618</v>
      </c>
      <c r="I27" s="281">
        <v>1</v>
      </c>
      <c r="J27" s="773" t="s">
        <v>617</v>
      </c>
      <c r="K27" s="282">
        <v>10</v>
      </c>
      <c r="L27" s="5"/>
      <c r="M27" s="5"/>
      <c r="N27" s="5"/>
      <c r="O27" s="5"/>
      <c r="P27" s="5"/>
      <c r="Q27" s="5"/>
      <c r="R27" s="5"/>
      <c r="S27" s="5"/>
      <c r="T27" s="5"/>
      <c r="U27" s="5"/>
      <c r="V27" s="5"/>
    </row>
    <row r="28" spans="1:22" ht="12.75" customHeight="1">
      <c r="A28" s="622" t="s">
        <v>53</v>
      </c>
      <c r="B28" s="460" t="s">
        <v>878</v>
      </c>
      <c r="C28" s="623" t="s">
        <v>276</v>
      </c>
      <c r="D28" s="506"/>
      <c r="E28" s="624" t="s">
        <v>476</v>
      </c>
      <c r="F28" s="624" t="s">
        <v>477</v>
      </c>
      <c r="G28" s="624" t="s">
        <v>478</v>
      </c>
      <c r="H28" s="567" t="s">
        <v>469</v>
      </c>
      <c r="I28" s="625"/>
      <c r="J28" s="626" t="s">
        <v>63</v>
      </c>
      <c r="K28" s="627" t="s">
        <v>470</v>
      </c>
      <c r="L28" s="5"/>
      <c r="M28" s="5"/>
      <c r="N28" s="5"/>
      <c r="O28" s="5"/>
      <c r="P28" s="5"/>
      <c r="Q28" s="5"/>
      <c r="R28" s="5"/>
      <c r="S28" s="5"/>
      <c r="T28" s="5"/>
      <c r="U28" s="5"/>
      <c r="V28" s="5"/>
    </row>
    <row r="29" spans="1:22" ht="12.75" customHeight="1">
      <c r="A29" s="283"/>
      <c r="B29" s="461" t="str">
        <f>VLOOKUP(K187,SETUP!$A$324:$D$357,2,TRUE)</f>
        <v>---</v>
      </c>
      <c r="C29" s="628" t="str">
        <f>IF(A14="---","gruppo esagoni 1",IF(A14=A14,A14,))</f>
        <v>gruppo esagoni 1</v>
      </c>
      <c r="D29" s="507"/>
      <c r="E29" s="508">
        <f>A29*K1*(VLOOKUP(K187,SETUP!A324:D357,3,TRUE))</f>
        <v>0</v>
      </c>
      <c r="F29" s="508">
        <f>A29*I27*K1</f>
        <v>0</v>
      </c>
      <c r="G29" s="508">
        <f>A29*K1*K27</f>
        <v>0</v>
      </c>
      <c r="H29" s="284"/>
      <c r="I29" s="285"/>
      <c r="J29" s="509">
        <f>IF((SUM(A29:A30))=0,0,IF(J14/(SUM(A29:A30))=50,50,IF(J14/(SUM(A29:A30))&gt;50,50,IF(J14/(SUM(A29:A30))&lt;50,J14/(SUM(A29:A30)),))))</f>
        <v>0</v>
      </c>
      <c r="K29" s="510">
        <f>(IF((A29*((VLOOKUP(K187,SETUP!A324:D357,4,TRUE))*(100%+I29))*J29)&lt;1,0)+IF((A29*((VLOOKUP(K187,SETUP!A324:D357,4,TRUE))*(100%+I29))*J29)&gt;0,FLOOR((A29*((VLOOKUP(K187,SETUP!A324:D357,4,TRUE))*(100%+I29))*J29)/12*K1,1)))</f>
        <v>0</v>
      </c>
      <c r="L29" s="5"/>
      <c r="M29" s="5"/>
      <c r="N29" s="5"/>
      <c r="O29" s="5"/>
      <c r="P29" s="5"/>
      <c r="Q29" s="5"/>
      <c r="R29" s="5"/>
      <c r="S29" s="5"/>
      <c r="T29" s="5"/>
      <c r="U29" s="5"/>
      <c r="V29" s="5"/>
    </row>
    <row r="30" spans="1:22" ht="12.75" customHeight="1">
      <c r="A30" s="283"/>
      <c r="B30" s="462" t="str">
        <f>VLOOKUP(K188,SETUP!$A$324:$D$357,2,TRUE)</f>
        <v>---</v>
      </c>
      <c r="C30" s="629" t="s">
        <v>621</v>
      </c>
      <c r="D30" s="511">
        <f>I14-(A29+A30)</f>
        <v>0</v>
      </c>
      <c r="E30" s="512">
        <f>A30*K1*(VLOOKUP(K188,SETUP!A324:D357,3,TRUE))</f>
        <v>0</v>
      </c>
      <c r="F30" s="512">
        <f>A30*I27*K1</f>
        <v>0</v>
      </c>
      <c r="G30" s="512">
        <f>A30*K1*K27</f>
        <v>0</v>
      </c>
      <c r="H30" s="284"/>
      <c r="I30" s="285"/>
      <c r="J30" s="513" t="s">
        <v>266</v>
      </c>
      <c r="K30" s="514">
        <f>(IF((A30*((VLOOKUP(K188,SETUP!A324:D357,4,TRUE))*(100%+I30))*J29)&lt;1,0)+IF((A30*((VLOOKUP(K188,SETUP!A324:D357,4,TRUE))*(100%+I30))*J29)&gt;0,FLOOR((A30*((VLOOKUP(K188,SETUP!A324:D357,4,TRUE))*(100%+I30))*J29)/12*K1,1)))</f>
        <v>0</v>
      </c>
      <c r="L30" s="5"/>
      <c r="M30" s="5"/>
      <c r="N30" s="5"/>
      <c r="O30" s="5"/>
      <c r="P30" s="5"/>
      <c r="Q30" s="5"/>
      <c r="R30" s="5"/>
      <c r="S30" s="5"/>
      <c r="T30" s="5"/>
      <c r="U30" s="5"/>
      <c r="V30" s="5"/>
    </row>
    <row r="31" spans="1:22" ht="12.75" customHeight="1">
      <c r="A31" s="283"/>
      <c r="B31" s="463" t="str">
        <f>VLOOKUP(K189,SETUP!$A$324:$D$357,2,TRUE)</f>
        <v>---</v>
      </c>
      <c r="C31" s="630" t="str">
        <f>IF(A15="---","gruppo esagoni 2",IF(A15=A15,A15,))</f>
        <v>gruppo esagoni 2</v>
      </c>
      <c r="D31" s="515"/>
      <c r="E31" s="516">
        <f>A31*K1*(VLOOKUP(K189,SETUP!A324:D357,3,TRUE))</f>
        <v>0</v>
      </c>
      <c r="F31" s="516">
        <f>A31*I27*K1</f>
        <v>0</v>
      </c>
      <c r="G31" s="516">
        <f>A31*K1*K27</f>
        <v>0</v>
      </c>
      <c r="H31" s="284"/>
      <c r="I31" s="285"/>
      <c r="J31" s="517">
        <f>IF((SUM(A31:A32))=0,0,IF(J15/(SUM(A31:A32))=50,50,IF(J15/(SUM(A31:A32))&gt;50,50,IF(J15/(SUM(A31:A32))&lt;50,J15/(SUM(A31:A32)),))))</f>
        <v>0</v>
      </c>
      <c r="K31" s="518">
        <f>(IF((A31*((VLOOKUP(K189,SETUP!A324:D357,4,TRUE))*(100%+I31))*J31)&lt;1,0)+IF((A31*((VLOOKUP(K189,SETUP!A324:D357,4,TRUE))*(100%+I31))*J31)&gt;0,FLOOR((A31*((VLOOKUP(K189,SETUP!A324:D357,4,TRUE))*(100%+I31))*J31)/12*K1,1)))</f>
        <v>0</v>
      </c>
      <c r="L31" s="5"/>
      <c r="M31" s="5"/>
      <c r="N31" s="5"/>
      <c r="O31" s="5"/>
      <c r="P31" s="5"/>
      <c r="Q31" s="5"/>
      <c r="R31" s="5"/>
      <c r="S31" s="5"/>
      <c r="T31" s="5"/>
      <c r="U31" s="5"/>
      <c r="V31" s="5"/>
    </row>
    <row r="32" spans="1:22" ht="12.75" customHeight="1">
      <c r="A32" s="283"/>
      <c r="B32" s="464" t="str">
        <f>VLOOKUP(K190,SETUP!$A$324:$D$357,2,TRUE)</f>
        <v>---</v>
      </c>
      <c r="C32" s="631" t="s">
        <v>621</v>
      </c>
      <c r="D32" s="519">
        <f>I15-(A31+A32)</f>
        <v>0</v>
      </c>
      <c r="E32" s="520">
        <f>A32*K1*(VLOOKUP(K190,SETUP!A324:D357,3,TRUE))</f>
        <v>0</v>
      </c>
      <c r="F32" s="520">
        <f>A32*I27*K1</f>
        <v>0</v>
      </c>
      <c r="G32" s="520">
        <f>A32*K1*K27</f>
        <v>0</v>
      </c>
      <c r="H32" s="284"/>
      <c r="I32" s="285"/>
      <c r="J32" s="521" t="s">
        <v>266</v>
      </c>
      <c r="K32" s="522">
        <f>(IF((A32*((VLOOKUP(K190,SETUP!A324:D357,4,TRUE))*(100%+I32))*J31)&lt;1,0)+IF((A32*((VLOOKUP(K190,SETUP!A324:D357,4,TRUE))*(100%+I32))*J31)&gt;0,FLOOR((A32*((VLOOKUP(K190,SETUP!A324:D357,4,TRUE))*(100%+I32))*J31)/12*K1,1)))</f>
        <v>0</v>
      </c>
      <c r="L32" s="5"/>
      <c r="M32" s="5"/>
      <c r="N32" s="5"/>
      <c r="O32" s="5"/>
      <c r="P32" s="5"/>
      <c r="Q32" s="5"/>
      <c r="R32" s="5"/>
      <c r="S32" s="5"/>
      <c r="T32" s="5"/>
      <c r="U32" s="5"/>
      <c r="V32" s="5"/>
    </row>
    <row r="33" spans="1:22" ht="12.75" customHeight="1">
      <c r="A33" s="283"/>
      <c r="B33" s="465" t="str">
        <f>VLOOKUP(K191,SETUP!$A$324:$D$357,2,TRUE)</f>
        <v>---</v>
      </c>
      <c r="C33" s="632" t="str">
        <f>IF(A16="---","gruppo esagoni 3",IF(A16=A16,A16,))</f>
        <v>gruppo esagoni 3</v>
      </c>
      <c r="D33" s="507"/>
      <c r="E33" s="523">
        <f>A33*K1*(VLOOKUP(K191,SETUP!A324:D357,3,TRUE))</f>
        <v>0</v>
      </c>
      <c r="F33" s="524">
        <f>A33*I27*K1</f>
        <v>0</v>
      </c>
      <c r="G33" s="523">
        <f>A33*K1*K27</f>
        <v>0</v>
      </c>
      <c r="H33" s="284"/>
      <c r="I33" s="285"/>
      <c r="J33" s="525">
        <f>IF((SUM(A33:A34))=0,0,IF(J16/(SUM(A33:A34))=50,50,IF(J16/(SUM(A33:A34))&gt;50,50,IF(J16/(SUM(A33:A34))&lt;50,J16/(SUM(A33:A34)),))))</f>
        <v>0</v>
      </c>
      <c r="K33" s="510">
        <f>(IF((A33*((VLOOKUP(K191,SETUP!A324:D357,4,TRUE))*(100%+I33))*J33)&lt;1,0)+IF((A33*((VLOOKUP(K191,SETUP!A324:D357,4,TRUE))*(100%+I33))*J33)&gt;0,FLOOR((A33*((VLOOKUP(K191,SETUP!A324:D357,4,TRUE))*(100%+I33))*J33)/12*K1,1)))</f>
        <v>0</v>
      </c>
      <c r="L33" s="5"/>
      <c r="M33" s="5"/>
      <c r="N33" s="5"/>
      <c r="O33" s="5"/>
      <c r="P33" s="5"/>
      <c r="Q33" s="5"/>
      <c r="R33" s="5"/>
      <c r="S33" s="5"/>
      <c r="T33" s="5"/>
      <c r="U33" s="5"/>
      <c r="V33" s="5"/>
    </row>
    <row r="34" spans="1:22" ht="12.75" customHeight="1">
      <c r="A34" s="283"/>
      <c r="B34" s="453" t="str">
        <f>VLOOKUP(K192,SETUP!$A$324:$D$357,2,TRUE)</f>
        <v>---</v>
      </c>
      <c r="C34" s="629" t="s">
        <v>621</v>
      </c>
      <c r="D34" s="526">
        <f>I16-(A33+A34)</f>
        <v>0</v>
      </c>
      <c r="E34" s="523">
        <f>A34*K1*(VLOOKUP(K192,SETUP!A324:D357,3,TRUE))</f>
        <v>0</v>
      </c>
      <c r="F34" s="524">
        <f>A34*I27*K1</f>
        <v>0</v>
      </c>
      <c r="G34" s="523">
        <f>A34*K1*K27</f>
        <v>0</v>
      </c>
      <c r="H34" s="284"/>
      <c r="I34" s="285"/>
      <c r="J34" s="513" t="s">
        <v>266</v>
      </c>
      <c r="K34" s="514">
        <f>(IF((A34*((VLOOKUP(K192,SETUP!A324:D357,4,TRUE))*(100%+I34))*J33)&lt;1,0)+IF((A34*((VLOOKUP(K192,SETUP!A324:D357,4,TRUE))*(100%+I34))*J33)&gt;0,FLOOR((A34*((VLOOKUP(K192,SETUP!A324:D357,4,TRUE))*(100%+I34))*J33)/12*K1,1)))</f>
        <v>0</v>
      </c>
      <c r="L34" s="5"/>
      <c r="M34" s="5"/>
      <c r="N34" s="5"/>
      <c r="O34" s="5"/>
      <c r="P34" s="5"/>
      <c r="Q34" s="5"/>
      <c r="R34" s="5"/>
      <c r="S34" s="5"/>
      <c r="T34" s="5"/>
      <c r="U34" s="5"/>
      <c r="V34" s="5"/>
    </row>
    <row r="35" spans="1:22" ht="12.75" customHeight="1">
      <c r="A35" s="283"/>
      <c r="B35" s="466" t="str">
        <f>VLOOKUP(K193,SETUP!$A$324:$D$357,2,TRUE)</f>
        <v>---</v>
      </c>
      <c r="C35" s="630" t="str">
        <f>IF(A17="---","gruppo esagoni 4",IF(A17=A17,A17,))</f>
        <v>gruppo esagoni 4</v>
      </c>
      <c r="D35" s="515"/>
      <c r="E35" s="516">
        <f>A35*K1*(VLOOKUP(K193,SETUP!A324:D357,3,TRUE))</f>
        <v>0</v>
      </c>
      <c r="F35" s="516">
        <f>A35*I27*K1</f>
        <v>0</v>
      </c>
      <c r="G35" s="516">
        <f>A35*K1*K27</f>
        <v>0</v>
      </c>
      <c r="H35" s="286"/>
      <c r="I35" s="285"/>
      <c r="J35" s="517">
        <f>IF((SUM(A35:A36))=0,0,IF(J17/(SUM(A35:A36))=50,50,IF(J17/(SUM(A35:A36))&gt;50,50,IF(J17/(SUM(A35:A36))&lt;50,J17/(SUM(A35:A36)),))))</f>
        <v>0</v>
      </c>
      <c r="K35" s="518">
        <f>(IF((A35*((VLOOKUP(K193,SETUP!A324:D357,4,TRUE))*(100%+I35))*J35)&lt;1,0)+IF((A35*((VLOOKUP(K193,SETUP!A324:D357,4,TRUE))*(100%+I35))*J35)&gt;0,FLOOR((A35*((VLOOKUP(K193,SETUP!A324:D357,4,TRUE))*(100%+I35))*J35)/12*K1,1)))</f>
        <v>0</v>
      </c>
      <c r="L35" s="5"/>
      <c r="M35" s="5"/>
      <c r="N35" s="5"/>
      <c r="O35" s="5"/>
      <c r="P35" s="5"/>
      <c r="Q35" s="5"/>
      <c r="R35" s="5"/>
      <c r="S35" s="5"/>
      <c r="T35" s="5"/>
      <c r="U35" s="5"/>
      <c r="V35" s="5"/>
    </row>
    <row r="36" spans="1:22" ht="12.75" customHeight="1">
      <c r="A36" s="283"/>
      <c r="B36" s="464" t="str">
        <f>VLOOKUP(K194,SETUP!$A$324:$D$357,2,TRUE)</f>
        <v>---</v>
      </c>
      <c r="C36" s="631" t="s">
        <v>621</v>
      </c>
      <c r="D36" s="519">
        <f>I17-(A35+A36)</f>
        <v>0</v>
      </c>
      <c r="E36" s="520">
        <f>A36*K1*(VLOOKUP(K194,SETUP!A324:D357,3,TRUE))</f>
        <v>0</v>
      </c>
      <c r="F36" s="520">
        <f>A36*I27*K1</f>
        <v>0</v>
      </c>
      <c r="G36" s="520">
        <f>A36*K1*K27</f>
        <v>0</v>
      </c>
      <c r="H36" s="286"/>
      <c r="I36" s="285"/>
      <c r="J36" s="521" t="s">
        <v>266</v>
      </c>
      <c r="K36" s="522">
        <f>(IF((A36*((VLOOKUP(K194,SETUP!A324:D357,4,TRUE))*(100%+I36))*J35)&lt;1,0)+IF((A36*((VLOOKUP(K194,SETUP!A324:D357,4,TRUE))*(100%+I36))*J35)&gt;0,FLOOR((A36*((VLOOKUP(K194,SETUP!A324:D357,4,TRUE))*(100%+I36))*J35)/12*K1,1)))</f>
        <v>0</v>
      </c>
      <c r="L36" s="5"/>
      <c r="M36" s="5"/>
      <c r="N36" s="5"/>
      <c r="O36" s="5"/>
      <c r="P36" s="5"/>
      <c r="Q36" s="5"/>
      <c r="R36" s="5"/>
      <c r="S36" s="5"/>
      <c r="T36" s="5"/>
      <c r="U36" s="5"/>
      <c r="V36" s="5"/>
    </row>
    <row r="37" spans="1:22" ht="12.75" customHeight="1">
      <c r="A37" s="283"/>
      <c r="B37" s="465" t="str">
        <f>VLOOKUP(K195,SETUP!$A$324:$D$357,2,TRUE)</f>
        <v>---</v>
      </c>
      <c r="C37" s="632" t="str">
        <f>IF(A18="---","gruppo esagoni 5",IF(A18=A18,A18,))</f>
        <v>gruppo esagoni 5</v>
      </c>
      <c r="D37" s="507"/>
      <c r="E37" s="523">
        <f>A37*K1*(VLOOKUP(K195,SETUP!A324:D357,3,TRUE))</f>
        <v>0</v>
      </c>
      <c r="F37" s="524">
        <f>A37*I27*K1</f>
        <v>0</v>
      </c>
      <c r="G37" s="523">
        <f>A37*K1*K27</f>
        <v>0</v>
      </c>
      <c r="H37" s="286"/>
      <c r="I37" s="285"/>
      <c r="J37" s="525">
        <f>IF((SUM(A37:A38))=0,0,IF(J18/(SUM(A37:A38))=50,50,IF(J18/(SUM(A37:A38))&gt;50,50,IF(J18/(SUM(A37:A38))&lt;50,J18/(SUM(A37:A38)),))))</f>
        <v>0</v>
      </c>
      <c r="K37" s="510">
        <f>(IF((A37*((VLOOKUP(K195,SETUP!A324:D357,4,TRUE))*(100%+I37))*J37)&lt;1,0)+IF((A37*((VLOOKUP(K195,SETUP!A324:D357,4,TRUE))*(100%+I37))*J37)&gt;0,FLOOR((A37*((VLOOKUP(K195,SETUP!A324:D357,4,TRUE))*(100%+I37))*J37)/12*K1,1)))</f>
        <v>0</v>
      </c>
      <c r="L37" s="5"/>
      <c r="M37" s="5"/>
      <c r="N37" s="5"/>
      <c r="O37" s="5"/>
      <c r="P37" s="5"/>
      <c r="Q37" s="5"/>
      <c r="R37" s="5"/>
      <c r="S37" s="5"/>
      <c r="T37" s="5"/>
      <c r="U37" s="5"/>
      <c r="V37" s="5"/>
    </row>
    <row r="38" spans="1:22" ht="12.75" customHeight="1">
      <c r="A38" s="283"/>
      <c r="B38" s="453" t="str">
        <f>VLOOKUP(K196,SETUP!$A$324:$D$357,2,TRUE)</f>
        <v>---</v>
      </c>
      <c r="C38" s="629" t="s">
        <v>621</v>
      </c>
      <c r="D38" s="526">
        <f>I18-(A37+A38)</f>
        <v>0</v>
      </c>
      <c r="E38" s="523">
        <f>A38*K1*(VLOOKUP(K196,SETUP!A324:D357,3,TRUE))</f>
        <v>0</v>
      </c>
      <c r="F38" s="524">
        <f>A38*I27*K1</f>
        <v>0</v>
      </c>
      <c r="G38" s="523">
        <f>A38*K1*K27</f>
        <v>0</v>
      </c>
      <c r="H38" s="286"/>
      <c r="I38" s="285"/>
      <c r="J38" s="513" t="s">
        <v>266</v>
      </c>
      <c r="K38" s="514">
        <f>(IF((A38*((VLOOKUP(K196,SETUP!A324:D357,4,TRUE))*(100%+I38))*J37)&lt;1,0)+IF((A38*((VLOOKUP(K196,SETUP!A324:D357,4,TRUE))*(100%+I38))*J37)&gt;0,FLOOR((A38*((VLOOKUP(K196,SETUP!A324:D357,4,TRUE))*(100%+I38))*J37)/12*K1,1)))</f>
        <v>0</v>
      </c>
      <c r="L38" s="5"/>
      <c r="M38" s="5"/>
      <c r="N38" s="5"/>
      <c r="O38" s="5"/>
      <c r="P38" s="5"/>
      <c r="Q38" s="5"/>
      <c r="R38" s="5"/>
      <c r="S38" s="5"/>
      <c r="T38" s="5"/>
      <c r="U38" s="5"/>
      <c r="V38" s="5"/>
    </row>
    <row r="39" spans="1:22" ht="12.75" customHeight="1">
      <c r="A39" s="283"/>
      <c r="B39" s="466" t="str">
        <f>VLOOKUP(K197,SETUP!$A$324:$D$357,2,TRUE)</f>
        <v>---</v>
      </c>
      <c r="C39" s="630" t="str">
        <f>IF(A19="---","gruppo esagoni 6",IF(A19=A19,A19,))</f>
        <v>gruppo esagoni 6</v>
      </c>
      <c r="D39" s="515"/>
      <c r="E39" s="516">
        <f>A39*K1*(VLOOKUP(K197,SETUP!A324:D357,3,TRUE))</f>
        <v>0</v>
      </c>
      <c r="F39" s="516">
        <f>A39*I27*K1</f>
        <v>0</v>
      </c>
      <c r="G39" s="516">
        <f>A39*K1*K27</f>
        <v>0</v>
      </c>
      <c r="H39" s="286"/>
      <c r="I39" s="285"/>
      <c r="J39" s="517">
        <f>IF((SUM(A39:A40))=0,0,IF(J19/(SUM(A39:A40))=50,50,IF(J19/(SUM(A39:A40))&gt;50,50,IF(J19/(SUM(A39:A40))&lt;50,J19/(SUM(A39:A40)),))))</f>
        <v>0</v>
      </c>
      <c r="K39" s="518">
        <f>(IF((A39*((VLOOKUP(K197,SETUP!A324:D357,4,TRUE))*(100%+I39))*J39)&lt;1,0)+IF((A39*((VLOOKUP(K197,SETUP!A324:D357,4,TRUE))*(100%+I39))*J39)&gt;0,FLOOR((A39*((VLOOKUP(K197,SETUP!A324:D357,4,TRUE))*(100%+I39))*J39)/12*K1,1)))</f>
        <v>0</v>
      </c>
      <c r="L39" s="5"/>
      <c r="M39" s="5"/>
      <c r="N39" s="5"/>
      <c r="O39" s="5"/>
      <c r="P39" s="5"/>
      <c r="Q39" s="5"/>
      <c r="R39" s="5"/>
      <c r="S39" s="5"/>
      <c r="T39" s="5"/>
      <c r="U39" s="5"/>
      <c r="V39" s="5"/>
    </row>
    <row r="40" spans="1:22" ht="12.75" customHeight="1">
      <c r="A40" s="283"/>
      <c r="B40" s="464" t="str">
        <f>VLOOKUP(K198,SETUP!$A$324:$D$357,2,TRUE)</f>
        <v>---</v>
      </c>
      <c r="C40" s="631" t="s">
        <v>621</v>
      </c>
      <c r="D40" s="519">
        <f>I19-(A39+A40)</f>
        <v>0</v>
      </c>
      <c r="E40" s="520">
        <f>A40*K1*(VLOOKUP(K198,SETUP!A324:D357,3,TRUE))</f>
        <v>0</v>
      </c>
      <c r="F40" s="520">
        <f>A40*I27*K1</f>
        <v>0</v>
      </c>
      <c r="G40" s="520">
        <f>A40*K1*K27</f>
        <v>0</v>
      </c>
      <c r="H40" s="286"/>
      <c r="I40" s="285"/>
      <c r="J40" s="521" t="s">
        <v>266</v>
      </c>
      <c r="K40" s="522">
        <f>(IF((A40*((VLOOKUP(K198,SETUP!A324:D357,4,TRUE))*(100%+I40))*J39)&lt;1,0)+IF((A40*((VLOOKUP(K198,SETUP!A324:D357,4,TRUE))*(100%+I40))*J39)&gt;0,FLOOR((A40*((VLOOKUP(K198,SETUP!A324:D357,4,TRUE))*(100%+I40))*J39)/12*K1,1)))</f>
        <v>0</v>
      </c>
      <c r="L40" s="5"/>
      <c r="M40" s="5"/>
      <c r="N40" s="5"/>
      <c r="O40" s="5"/>
      <c r="P40" s="5"/>
      <c r="Q40" s="5"/>
      <c r="R40" s="5"/>
      <c r="S40" s="5"/>
      <c r="T40" s="5"/>
      <c r="U40" s="5"/>
      <c r="V40" s="5"/>
    </row>
    <row r="41" spans="1:22" ht="12.75" customHeight="1">
      <c r="A41" s="283"/>
      <c r="B41" s="465" t="str">
        <f>VLOOKUP(K199,SETUP!$A$324:$D$357,2,TRUE)</f>
        <v>---</v>
      </c>
      <c r="C41" s="632" t="str">
        <f>IF(A20="---","gruppo esagoni 7",IF(A20=A20,A20,))</f>
        <v>gruppo esagoni 7</v>
      </c>
      <c r="D41" s="507"/>
      <c r="E41" s="523">
        <f>A41*K1*(VLOOKUP(K199,SETUP!A324:D357,3,TRUE))</f>
        <v>0</v>
      </c>
      <c r="F41" s="524">
        <f>A41*I27*K1</f>
        <v>0</v>
      </c>
      <c r="G41" s="523">
        <f>A41*K1*K27</f>
        <v>0</v>
      </c>
      <c r="H41" s="286"/>
      <c r="I41" s="285"/>
      <c r="J41" s="525">
        <f>IF((SUM(A41:A42))=0,0,IF(J20/(SUM(A41:A42))=50,50,IF(J20/(SUM(A41:A42))&gt;50,50,IF(J20/(SUM(A41:A42))&lt;50,J20/(SUM(A41:A42)),))))</f>
        <v>0</v>
      </c>
      <c r="K41" s="510">
        <f>(IF((A41*((VLOOKUP(K199,SETUP!A324:D357,4,TRUE))*(100%+I41))*J41)&lt;1,0)+IF((A41*((VLOOKUP(K199,SETUP!A324:D357,4,TRUE))*(100%+I41))*J41)&gt;0,FLOOR((A41*((VLOOKUP(K199,SETUP!A324:D357,4,TRUE))*(100%+I41))*J41)/12*K1,1)))</f>
        <v>0</v>
      </c>
      <c r="L41" s="5"/>
      <c r="M41" s="5"/>
      <c r="N41" s="5"/>
      <c r="O41" s="5"/>
      <c r="P41" s="5"/>
      <c r="Q41" s="5"/>
      <c r="R41" s="5"/>
      <c r="S41" s="5"/>
      <c r="T41" s="5"/>
      <c r="U41" s="5"/>
      <c r="V41" s="5"/>
    </row>
    <row r="42" spans="1:22" ht="12.75" customHeight="1">
      <c r="A42" s="283"/>
      <c r="B42" s="453" t="str">
        <f>VLOOKUP(K200,SETUP!$A$324:$D$357,2,TRUE)</f>
        <v>---</v>
      </c>
      <c r="C42" s="629" t="s">
        <v>621</v>
      </c>
      <c r="D42" s="527">
        <f>I20-(A41+A42)</f>
        <v>0</v>
      </c>
      <c r="E42" s="523">
        <f>A42*K1*(VLOOKUP(K200,SETUP!A324:D357,3,TRUE))</f>
        <v>0</v>
      </c>
      <c r="F42" s="524">
        <f>A42*I27*K1</f>
        <v>0</v>
      </c>
      <c r="G42" s="523">
        <f>A42*K1*K27</f>
        <v>0</v>
      </c>
      <c r="H42" s="286"/>
      <c r="I42" s="285"/>
      <c r="J42" s="513" t="s">
        <v>266</v>
      </c>
      <c r="K42" s="514">
        <f>(IF((A42*((VLOOKUP(K200,SETUP!A324:D357,4,TRUE))*(100%+I42))*J41)&lt;1,0)+IF((A42*((VLOOKUP(K200,SETUP!A324:D357,4,TRUE))*(100%+I42))*J41)&gt;0,FLOOR((A42*((VLOOKUP(K200,SETUP!A324:D357,4,TRUE))*(100%+I42))*J41)/12*K1,1)))</f>
        <v>0</v>
      </c>
      <c r="L42" s="5"/>
      <c r="M42" s="5"/>
      <c r="N42" s="5"/>
      <c r="O42" s="5"/>
      <c r="P42" s="5"/>
      <c r="Q42" s="5"/>
      <c r="R42" s="5"/>
      <c r="S42" s="5"/>
      <c r="T42" s="5"/>
      <c r="U42" s="5"/>
      <c r="V42" s="5"/>
    </row>
    <row r="43" spans="1:22" ht="12.75" customHeight="1">
      <c r="A43" s="283"/>
      <c r="B43" s="466" t="str">
        <f>VLOOKUP(K201,SETUP!$A$324:$D$357,2,TRUE)</f>
        <v>---</v>
      </c>
      <c r="C43" s="630" t="str">
        <f>IF(A21="---","gruppo esagoni 8",IF(A21=A21,A21,))</f>
        <v>gruppo esagoni 8</v>
      </c>
      <c r="D43" s="515"/>
      <c r="E43" s="516">
        <f>A43*K1*(VLOOKUP(K201,SETUP!A324:D357,3,TRUE))</f>
        <v>0</v>
      </c>
      <c r="F43" s="516">
        <f>A43*I27*K1</f>
        <v>0</v>
      </c>
      <c r="G43" s="516">
        <f>A43*K1*K27</f>
        <v>0</v>
      </c>
      <c r="H43" s="284"/>
      <c r="I43" s="285"/>
      <c r="J43" s="517">
        <f>IF((SUM(A43:A44))=0,0,IF(J21/(SUM(A43:A44))=50,50,IF(J21/(SUM(A43:A44))&gt;50,50,IF(J21/(SUM(A43:A44))&lt;50,J21/(SUM(A43:A44)),))))</f>
        <v>0</v>
      </c>
      <c r="K43" s="518">
        <f>(IF((A43*((VLOOKUP(K201,SETUP!A324:D357,4,TRUE))*(100%+I43))*J43)&lt;1,0)+IF((A43*((VLOOKUP(K201,SETUP!A324:D357,4,TRUE))*(100%+I43))*J43)&gt;0,FLOOR((A43*((VLOOKUP(K201,SETUP!A324:D357,4,TRUE))*(100%+I43))*J43)/12*K1,1)))</f>
        <v>0</v>
      </c>
      <c r="L43" s="5"/>
      <c r="M43" s="5"/>
      <c r="N43" s="5"/>
      <c r="O43" s="5"/>
      <c r="P43" s="5"/>
      <c r="Q43" s="5"/>
      <c r="R43" s="5"/>
      <c r="S43" s="5"/>
      <c r="T43" s="5"/>
      <c r="U43" s="5"/>
      <c r="V43" s="5"/>
    </row>
    <row r="44" spans="1:22" ht="12.75" customHeight="1">
      <c r="A44" s="283"/>
      <c r="B44" s="464" t="str">
        <f>VLOOKUP(K202,SETUP!$A$324:$D$357,2,TRUE)</f>
        <v>---</v>
      </c>
      <c r="C44" s="631" t="s">
        <v>621</v>
      </c>
      <c r="D44" s="519">
        <f>I21-(A43+A44)</f>
        <v>0</v>
      </c>
      <c r="E44" s="520">
        <f>A44*K1*(VLOOKUP(K202,SETUP!A324:D357,3,TRUE))</f>
        <v>0</v>
      </c>
      <c r="F44" s="520">
        <f>A44*I27*K1</f>
        <v>0</v>
      </c>
      <c r="G44" s="520">
        <f>A44*K1*K27</f>
        <v>0</v>
      </c>
      <c r="H44" s="284"/>
      <c r="I44" s="285"/>
      <c r="J44" s="521" t="s">
        <v>266</v>
      </c>
      <c r="K44" s="522">
        <f>(IF((A44*((VLOOKUP(K202,SETUP!A324:D357,4,TRUE))*(100%+I44))*J43)&lt;1,0)+IF((A44*((VLOOKUP(K202,SETUP!A324:D357,4,TRUE))*(100%+I44))*J43)&gt;0,FLOOR((A44*((VLOOKUP(K202,SETUP!A324:D357,4,TRUE))*(100%+I44))*J43)/12*K1,1)))</f>
        <v>0</v>
      </c>
      <c r="L44" s="5"/>
      <c r="M44" s="5"/>
      <c r="N44" s="5"/>
      <c r="O44" s="5"/>
      <c r="P44" s="5"/>
      <c r="Q44" s="5"/>
      <c r="R44" s="5"/>
      <c r="S44" s="5"/>
      <c r="T44" s="5"/>
      <c r="U44" s="5"/>
      <c r="V44" s="5"/>
    </row>
    <row r="45" spans="1:22" ht="12.75" customHeight="1">
      <c r="A45" s="283"/>
      <c r="B45" s="465" t="str">
        <f>VLOOKUP(K203,SETUP!$A$324:$D$357,2,TRUE)</f>
        <v>---</v>
      </c>
      <c r="C45" s="632" t="str">
        <f>IF(A22="---","gruppo esagoni 9",IF(A22=A22,A22,))</f>
        <v>gruppo esagoni 9</v>
      </c>
      <c r="D45" s="507"/>
      <c r="E45" s="523">
        <f>A45*K1*(VLOOKUP(K203,SETUP!A324:D357,3,TRUE))</f>
        <v>0</v>
      </c>
      <c r="F45" s="523">
        <f>A45*I27*K1</f>
        <v>0</v>
      </c>
      <c r="G45" s="523">
        <f>A45*K1*K27</f>
        <v>0</v>
      </c>
      <c r="H45" s="284"/>
      <c r="I45" s="285"/>
      <c r="J45" s="525">
        <f>IF((SUM(A45:A46))=0,0,IF(J22/(SUM(A45:A46))=50,50,IF(J22/(SUM(A45:A46))&gt;50,50,IF(J22/(SUM(A45:A46))&lt;50,J22/(SUM(A45:A46)),))))</f>
        <v>0</v>
      </c>
      <c r="K45" s="510">
        <f>(IF((A45*((VLOOKUP(K203,SETUP!A324:D357,4,TRUE))*(100%+I45))*J45)&lt;1,0)+IF((A45*((VLOOKUP(K203,SETUP!A324:D357,4,TRUE))*(100%+I45))*J45)&gt;0,FLOOR((A45*((VLOOKUP(K203,SETUP!A324:D357,4,TRUE))*(100%+I45))*J45)/12*K1,1)))</f>
        <v>0</v>
      </c>
      <c r="L45" s="5"/>
      <c r="M45" s="5"/>
      <c r="N45" s="5"/>
      <c r="O45" s="5"/>
      <c r="P45" s="5"/>
      <c r="Q45" s="5"/>
      <c r="R45" s="5"/>
      <c r="S45" s="5"/>
      <c r="T45" s="5"/>
      <c r="U45" s="5"/>
      <c r="V45" s="5"/>
    </row>
    <row r="46" spans="1:22" ht="12.75" customHeight="1">
      <c r="A46" s="283"/>
      <c r="B46" s="453" t="str">
        <f>VLOOKUP(K204,SETUP!$A$324:$D$357,2,TRUE)</f>
        <v>---</v>
      </c>
      <c r="C46" s="629" t="s">
        <v>621</v>
      </c>
      <c r="D46" s="511">
        <f>I22-(A45+A46)</f>
        <v>0</v>
      </c>
      <c r="E46" s="512">
        <f>A46*K1*(VLOOKUP(K204,SETUP!A324:D357,3,TRUE))</f>
        <v>0</v>
      </c>
      <c r="F46" s="512">
        <f>A46*I27*K1</f>
        <v>0</v>
      </c>
      <c r="G46" s="512">
        <f>A46*K1*K27</f>
        <v>0</v>
      </c>
      <c r="H46" s="284"/>
      <c r="I46" s="285"/>
      <c r="J46" s="513" t="s">
        <v>266</v>
      </c>
      <c r="K46" s="514">
        <f>(IF((A46*((VLOOKUP(K204,SETUP!A324:D357,4,TRUE))*(100%+I46))*J45)&lt;1,0)+IF((A46*((VLOOKUP(K204,SETUP!A324:D357,4,TRUE))*(100%+I46))*J45)&gt;0,FLOOR((A46*((VLOOKUP(K204,SETUP!A324:D357,4,TRUE))*(100%+I46))*J45)/12*K1,1)))</f>
        <v>0</v>
      </c>
      <c r="L46" s="5"/>
      <c r="M46" s="5"/>
      <c r="N46" s="5"/>
      <c r="O46" s="5"/>
      <c r="P46" s="5"/>
      <c r="Q46" s="5"/>
      <c r="R46" s="5"/>
      <c r="S46" s="5"/>
      <c r="T46" s="5"/>
      <c r="U46" s="5"/>
      <c r="V46" s="5"/>
    </row>
    <row r="47" spans="1:22" ht="12.75" customHeight="1">
      <c r="A47" s="283"/>
      <c r="B47" s="463" t="str">
        <f>VLOOKUP(K205,SETUP!$A$324:$D$357,2,TRUE)</f>
        <v>---</v>
      </c>
      <c r="C47" s="633" t="str">
        <f>IF(A23="---","gruppo esagoni 10",IF(A23=A23,A23,))</f>
        <v>gruppo esagoni 10</v>
      </c>
      <c r="D47" s="515"/>
      <c r="E47" s="516">
        <f>A47*K1*(VLOOKUP(K205,SETUP!A324:D357,3,TRUE))</f>
        <v>0</v>
      </c>
      <c r="F47" s="516">
        <f>A47*I27*K1</f>
        <v>0</v>
      </c>
      <c r="G47" s="516">
        <f>A47*K1*K27</f>
        <v>0</v>
      </c>
      <c r="H47" s="284"/>
      <c r="I47" s="285"/>
      <c r="J47" s="517">
        <f>IF((SUM(A47:A48))=0,0,IF(J23/(SUM(A47:A48))=50,50,IF(J23/(SUM(A47:A48))&gt;50,50,IF(J23/(SUM(A47:A48))&lt;50,J23/(SUM(A47:A48)),))))</f>
        <v>0</v>
      </c>
      <c r="K47" s="518">
        <f>(IF((A47*((VLOOKUP(K205,SETUP!A324:D357,4,TRUE))*(100%+I47))*J47)&lt;1,0)+IF((A47*((VLOOKUP(K205,SETUP!A324:D357,4,TRUE))*(100%+I47))*J47)&gt;0,FLOOR((A47*((VLOOKUP(K205,SETUP!A324:D357,4,TRUE))*(100%+I47))*J47)/12*K1,1)))</f>
        <v>0</v>
      </c>
      <c r="L47" s="5"/>
      <c r="M47" s="5"/>
      <c r="N47" s="5"/>
      <c r="O47" s="5"/>
      <c r="P47" s="5"/>
      <c r="Q47" s="5"/>
      <c r="R47" s="5"/>
      <c r="S47" s="5"/>
      <c r="T47" s="5"/>
      <c r="U47" s="5"/>
      <c r="V47" s="5"/>
    </row>
    <row r="48" spans="1:22" ht="12.75" customHeight="1">
      <c r="A48" s="283"/>
      <c r="B48" s="464" t="str">
        <f>VLOOKUP(K206,SETUP!$A$324:$D$357,2,TRUE)</f>
        <v>---</v>
      </c>
      <c r="C48" s="631" t="s">
        <v>621</v>
      </c>
      <c r="D48" s="519">
        <f>I23-(A47+A48)</f>
        <v>0</v>
      </c>
      <c r="E48" s="520">
        <f>A48*K1*(VLOOKUP(K206,SETUP!A324:D357,3,TRUE))</f>
        <v>0</v>
      </c>
      <c r="F48" s="520">
        <f>A48*I27*K1</f>
        <v>0</v>
      </c>
      <c r="G48" s="520">
        <f>A48*K1*K27</f>
        <v>0</v>
      </c>
      <c r="H48" s="284"/>
      <c r="I48" s="285"/>
      <c r="J48" s="521" t="s">
        <v>266</v>
      </c>
      <c r="K48" s="522">
        <f>(IF((A48*((VLOOKUP(K206,SETUP!A324:D357,4,TRUE))*(100%+I48))*J47)&lt;1,0)+IF((A48*((VLOOKUP(K206,SETUP!A324:D357,4,TRUE))*(100%+I48))*J47)&gt;0,FLOOR((A48*((VLOOKUP(K206,SETUP!A324:D357,4,TRUE))*(100%+I48))*J47)/12*K1,1)))</f>
        <v>0</v>
      </c>
      <c r="L48" s="5"/>
      <c r="M48" s="5"/>
      <c r="N48" s="5"/>
      <c r="O48" s="5"/>
      <c r="P48" s="5"/>
      <c r="Q48" s="5"/>
      <c r="R48" s="5"/>
      <c r="S48" s="5"/>
      <c r="T48" s="5"/>
      <c r="U48" s="5"/>
      <c r="V48" s="5"/>
    </row>
    <row r="49" spans="1:22" ht="12.75" customHeight="1">
      <c r="A49" s="283"/>
      <c r="B49" s="467" t="str">
        <f>VLOOKUP(K207,SETUP!$A$324:$D$357,2,TRUE)</f>
        <v>---</v>
      </c>
      <c r="C49" s="632" t="str">
        <f>IF(A24="---","gruppo esagoni 11",IF(A24=A24,A24,))</f>
        <v>gruppo esagoni 11</v>
      </c>
      <c r="D49" s="507"/>
      <c r="E49" s="523">
        <f>A49*K1*(VLOOKUP(K207,SETUP!A324:D357,3,TRUE))</f>
        <v>0</v>
      </c>
      <c r="F49" s="523">
        <f>A49*I27*K1</f>
        <v>0</v>
      </c>
      <c r="G49" s="523">
        <f>A49*K1*K27</f>
        <v>0</v>
      </c>
      <c r="H49" s="284"/>
      <c r="I49" s="285"/>
      <c r="J49" s="528">
        <f>IF((SUM(A49:A50))=0,0,IF(J24/(SUM(A49:A50))=50,50,IF(J24/(SUM(A49:A50))&gt;50,50,IF(J24/(SUM(A49:A50))&lt;50,J24/(SUM(A49:A50)),))))</f>
        <v>0</v>
      </c>
      <c r="K49" s="529">
        <f>(IF((A49*((VLOOKUP(K207,SETUP!A324:D357,4,TRUE))*(100%+I49))*J49)&lt;1,0)+IF((A49*((VLOOKUP(K207,SETUP!A324:D357,4,TRUE))*(100%+I49))*J49)&gt;0,FLOOR((A49*((VLOOKUP(K207,SETUP!A324:D357,4,TRUE))*(100%+I49))*J49)/12*K1,1)))</f>
        <v>0</v>
      </c>
      <c r="L49" s="5"/>
      <c r="M49" s="5"/>
      <c r="N49" s="5"/>
      <c r="O49" s="5"/>
      <c r="P49" s="5"/>
      <c r="Q49" s="5"/>
      <c r="R49" s="5"/>
      <c r="S49" s="5"/>
      <c r="T49" s="5"/>
      <c r="U49" s="5"/>
      <c r="V49" s="5"/>
    </row>
    <row r="50" spans="1:22" ht="12.75" customHeight="1">
      <c r="A50" s="287"/>
      <c r="B50" s="468" t="str">
        <f>VLOOKUP(K208,SETUP!$A$324:$D$357,2,TRUE)</f>
        <v>---</v>
      </c>
      <c r="C50" s="634" t="s">
        <v>621</v>
      </c>
      <c r="D50" s="530">
        <f>I24-(A49+A50)</f>
        <v>0</v>
      </c>
      <c r="E50" s="531">
        <f>A50*K1*(VLOOKUP(K208,SETUP!A324:D357,3,TRUE))</f>
        <v>0</v>
      </c>
      <c r="F50" s="531">
        <f>A50*I27*K1</f>
        <v>0</v>
      </c>
      <c r="G50" s="531">
        <f>A50*K1*K27</f>
        <v>0</v>
      </c>
      <c r="H50" s="288"/>
      <c r="I50" s="289"/>
      <c r="J50" s="532" t="s">
        <v>266</v>
      </c>
      <c r="K50" s="533">
        <f>(IF((A50*((VLOOKUP(K208,SETUP!A324:D357,4,TRUE))*(100%+I50))*J49)&lt;1,0)+IF((A50*((VLOOKUP(K208,SETUP!A324:D357,4,TRUE))*(100%+I50))*J49)&gt;0,FLOOR((A50*((VLOOKUP(K208,SETUP!A324:D357,4,TRUE))*(100%+I50))*J49)/12*K1,1)))</f>
        <v>0</v>
      </c>
      <c r="L50" s="5"/>
      <c r="M50" s="5"/>
      <c r="N50" s="5"/>
      <c r="O50" s="5"/>
      <c r="P50" s="5"/>
      <c r="Q50" s="5"/>
      <c r="R50" s="5"/>
      <c r="S50" s="5"/>
      <c r="T50" s="5"/>
      <c r="U50" s="5"/>
      <c r="V50" s="5"/>
    </row>
    <row r="51" spans="1:22" ht="12.75" customHeight="1">
      <c r="A51" s="290"/>
      <c r="B51" s="469" t="str">
        <f>VLOOKUP(K210,SETUP!$A$360:$D$372,2,TRUE)</f>
        <v>---</v>
      </c>
      <c r="C51" s="635" t="str">
        <f>IF(A51=0,"metti famiglie e scegli",IF(A51&gt;0,IF(B51=VLOOKUP(K210,SETUP!$A$362:$D$362,2,TRUE),"(miele)",IF(B51=VLOOKUP(K210,SETUP!$A$363:$D$363,2,TRUE),"(seta*)",IF(B51=VLOOKUP(K210,SETUP!$A$364:$D$372,2,TRUE),"carne")))))</f>
        <v>metti famiglie e scegli</v>
      </c>
      <c r="D51" s="534"/>
      <c r="E51" s="535">
        <f>A51*K1*(VLOOKUP(K210,SETUP!A360:D372,3,TRUE))</f>
        <v>0</v>
      </c>
      <c r="F51" s="535">
        <f>A51*I27*K1</f>
        <v>0</v>
      </c>
      <c r="G51" s="535">
        <f>A51*K1*K27</f>
        <v>0</v>
      </c>
      <c r="H51" s="286"/>
      <c r="I51" s="291"/>
      <c r="J51" s="536" t="s">
        <v>63</v>
      </c>
      <c r="K51" s="537">
        <f>IF(A51=0,0)+IF((A51*((VLOOKUP(K210,SETUP!A360:D372,4,TRUE))*(100%+I51))/4*J54)&gt;0,FLOOR((((A51*((VLOOKUP(K210,SETUP!A360:D372,4,TRUE))*(100%+I51))/4*J54))/12*K1),1))</f>
        <v>0</v>
      </c>
      <c r="L51" s="5"/>
      <c r="M51" s="5"/>
      <c r="N51" s="5"/>
      <c r="O51" s="5"/>
      <c r="P51" s="5"/>
      <c r="Q51" s="5"/>
      <c r="R51" s="5"/>
      <c r="S51" s="5"/>
      <c r="T51" s="5"/>
      <c r="U51" s="5"/>
      <c r="V51" s="5"/>
    </row>
    <row r="52" spans="1:22" ht="12.75" customHeight="1">
      <c r="A52" s="283"/>
      <c r="B52" s="470" t="str">
        <f>VLOOKUP(K211,SETUP!$A$360:$D$372,2,TRUE)</f>
        <v>---</v>
      </c>
      <c r="C52" s="636" t="str">
        <f>IF(A52=0,"metti famiglie e scegli",IF(A52&gt;0,IF(B52=VLOOKUP(K211,SETUP!$A$362:$D$362,2,TRUE),"(miele)",IF(B52=VLOOKUP(K211,SETUP!$A$363:$D$363,2,TRUE),"(seta*)",IF(B52=VLOOKUP(K211,SETUP!$A$364:$D$372,2,TRUE),"carne")))))</f>
        <v>metti famiglie e scegli</v>
      </c>
      <c r="D52" s="538"/>
      <c r="E52" s="523">
        <f>A52*K1*(VLOOKUP(K211,SETUP!A360:D372,3,TRUE))</f>
        <v>0</v>
      </c>
      <c r="F52" s="523">
        <f>A52*I27*K1</f>
        <v>0</v>
      </c>
      <c r="G52" s="523">
        <f>A52*K1*K27</f>
        <v>0</v>
      </c>
      <c r="H52" s="286"/>
      <c r="I52" s="285"/>
      <c r="J52" s="539" t="s">
        <v>332</v>
      </c>
      <c r="K52" s="529">
        <f>IF(A52=0,0)+IF((A52*((VLOOKUP(K211,SETUP!A360:D372,4,TRUE))*(100%+I52))/4*J54)&gt;0,FLOOR((((A52*((VLOOKUP(K211,SETUP!A360:D372,4,TRUE))*(100%+I52))/4*J54))/12*K1),1))</f>
        <v>0</v>
      </c>
      <c r="L52" s="5"/>
      <c r="M52" s="5"/>
      <c r="N52" s="5"/>
      <c r="O52" s="5"/>
      <c r="P52" s="5"/>
      <c r="Q52" s="5"/>
      <c r="R52" s="5"/>
      <c r="S52" s="5"/>
      <c r="T52" s="5"/>
      <c r="U52" s="5"/>
      <c r="V52" s="5"/>
    </row>
    <row r="53" spans="1:22" ht="12.75" customHeight="1">
      <c r="A53" s="283"/>
      <c r="B53" s="470" t="str">
        <f>VLOOKUP(K212,SETUP!$A$360:$D$372,2,TRUE)</f>
        <v>---</v>
      </c>
      <c r="C53" s="637" t="str">
        <f>IF(A53=0,"metti famiglie e scegli",IF(A53&gt;0,IF(B53=VLOOKUP(K212,SETUP!$A$362:$D$362,2,TRUE),"(miele)",IF(B53=VLOOKUP(K212,SETUP!$A$363:$D$363,2,TRUE),"(seta*)",IF(B53=VLOOKUP(K212,SETUP!$A$364:$D$372,2,TRUE),"carne")))))</f>
        <v>metti famiglie e scegli</v>
      </c>
      <c r="D53" s="538"/>
      <c r="E53" s="523">
        <f>A53*K1*(VLOOKUP(K212,SETUP!A360:D372,3,TRUE))</f>
        <v>0</v>
      </c>
      <c r="F53" s="523">
        <f>A53*I27*K1</f>
        <v>0</v>
      </c>
      <c r="G53" s="523">
        <f>A53*K1*K27</f>
        <v>0</v>
      </c>
      <c r="H53" s="286"/>
      <c r="I53" s="285"/>
      <c r="J53" s="540" t="s">
        <v>334</v>
      </c>
      <c r="K53" s="529">
        <f>IF(A53=0,0)+IF((A53*((VLOOKUP(K212,SETUP!A360:D372,4,TRUE))*(100%+I53))/4*J54)&gt;0,FLOOR((((A53*((VLOOKUP(K212,SETUP!A360:D372,4,TRUE))*(100%+I53))/4*J54))/12*K1),1))</f>
        <v>0</v>
      </c>
      <c r="L53" s="5"/>
      <c r="M53" s="5"/>
      <c r="N53" s="5"/>
      <c r="O53" s="5"/>
      <c r="P53" s="5"/>
      <c r="Q53" s="5"/>
      <c r="R53" s="5"/>
      <c r="S53" s="5"/>
      <c r="T53" s="5"/>
      <c r="U53" s="5"/>
      <c r="V53" s="5"/>
    </row>
    <row r="54" spans="1:22" ht="12.75" customHeight="1">
      <c r="A54" s="283"/>
      <c r="B54" s="470" t="str">
        <f>VLOOKUP(K213,SETUP!$A$360:$D$372,2,TRUE)</f>
        <v>---</v>
      </c>
      <c r="C54" s="637" t="str">
        <f>IF(A54=0,"metti famiglie e scegli",IF(A54&gt;0,IF(B54=VLOOKUP(K213,SETUP!$A$362:$D$362,2,TRUE),"(miele)",IF(B54=VLOOKUP(K213,SETUP!$A$363:$D$363,2,TRUE),"(seta*)",IF(B54=VLOOKUP(K213,SETUP!$A$364:$D$372,2,TRUE),"carne")))))</f>
        <v>metti famiglie e scegli</v>
      </c>
      <c r="D54" s="538"/>
      <c r="E54" s="523">
        <f>A54*K1*(VLOOKUP(K213,SETUP!A360:D372,3,TRUE))</f>
        <v>0</v>
      </c>
      <c r="F54" s="523">
        <f>A54*I27*K1</f>
        <v>0</v>
      </c>
      <c r="G54" s="523">
        <f>A54*K1*K27</f>
        <v>0</v>
      </c>
      <c r="H54" s="286"/>
      <c r="I54" s="285"/>
      <c r="J54" s="541">
        <f>IF((SUM(A51:A55))=0,0,IF((SUM(K14:K24))/(SUM(A51:A55))=100,100,IF((SUM(K14:K24))/(SUM(A51:A55))&gt;100,100,IF((SUM(K14:K24))/(SUM(A51:A55))&lt;100,(SUM(K14:K24))/(SUM(A51:A55))))))</f>
        <v>0</v>
      </c>
      <c r="K54" s="529">
        <f>IF(A54=0,0)+IF((A54*((VLOOKUP(K213,SETUP!A360:D372,4,TRUE))*(100%+I54))/4*J54)&gt;0,FLOOR((((A54*((VLOOKUP(K213,SETUP!A360:D372,4,TRUE))*(100%+I54))/4*J54))/12*K1),1))</f>
        <v>0</v>
      </c>
      <c r="L54" s="5"/>
      <c r="M54" s="5"/>
      <c r="N54" s="5"/>
      <c r="O54" s="5"/>
      <c r="P54" s="5"/>
      <c r="Q54" s="5"/>
      <c r="R54" s="5"/>
      <c r="S54" s="5"/>
      <c r="T54" s="5"/>
      <c r="U54" s="5"/>
      <c r="V54" s="5"/>
    </row>
    <row r="55" spans="1:22" ht="12.75" customHeight="1">
      <c r="A55" s="283"/>
      <c r="B55" s="471" t="str">
        <f>VLOOKUP(K214,SETUP!$A$373:$D$373,2,TRUE)</f>
        <v>Caccia e Pollame 6,30</v>
      </c>
      <c r="C55" s="638" t="str">
        <f>IF(A55=0,"metti famiglie",IF(A55&gt;0,IF(B55=VLOOKUP(K214,SETUP!$A$373:$D$373,2,TRUE),"carne",)))</f>
        <v>metti famiglie</v>
      </c>
      <c r="D55" s="542"/>
      <c r="E55" s="531">
        <f>A55*K1*(VLOOKUP(K214,SETUP!A373:D373,3,TRUE))</f>
        <v>0</v>
      </c>
      <c r="F55" s="531">
        <f>A55*I27*K1</f>
        <v>0</v>
      </c>
      <c r="G55" s="531">
        <f>A55*K1*K27</f>
        <v>0</v>
      </c>
      <c r="H55" s="288"/>
      <c r="I55" s="289"/>
      <c r="J55" s="543" t="s">
        <v>333</v>
      </c>
      <c r="K55" s="533">
        <f>IF(A55=0,0)+IF((A55*((VLOOKUP(K214,SETUP!A373:D373,4,TRUE))*(100%+I55))/4*J54)&gt;0,FLOOR((((A55*((VLOOKUP(K214,SETUP!A373:D373,4,TRUE))*(100%+I55))/4*J54))/12*K1),1))</f>
        <v>0</v>
      </c>
      <c r="L55" s="5"/>
      <c r="M55" s="5"/>
      <c r="N55" s="5"/>
      <c r="O55" s="5"/>
      <c r="P55" s="5"/>
      <c r="Q55" s="5"/>
      <c r="R55" s="5"/>
      <c r="S55" s="5"/>
      <c r="T55" s="5"/>
      <c r="U55" s="5"/>
      <c r="V55" s="5"/>
    </row>
    <row r="56" spans="1:22" ht="12.75" customHeight="1">
      <c r="A56" s="290"/>
      <c r="B56" s="472" t="str">
        <f>VLOOKUP(K216,SETUP!$A$375:$D$380,2,TRUE)</f>
        <v>Pesca in fiume 4,70</v>
      </c>
      <c r="C56" s="639" t="s">
        <v>521</v>
      </c>
      <c r="D56" s="292"/>
      <c r="E56" s="544">
        <f>A56*K1*(VLOOKUP(K216,SETUP!A375:D380,3,TRUE))</f>
        <v>0</v>
      </c>
      <c r="F56" s="544">
        <f>A56*I27*K1</f>
        <v>0</v>
      </c>
      <c r="G56" s="544">
        <f>A56*K1*K27</f>
        <v>0</v>
      </c>
      <c r="H56" s="293"/>
      <c r="I56" s="294"/>
      <c r="J56" s="545">
        <f>IF(A56=0,0,IF(A56&gt;0,IF(K12=1,IF(VLOOKUP(K216,SETUP!A375:E380,5)/64*D56/A56&lt;10,VLOOKUP(K216,SETUP!A375:E380,5)/64*D56/A56)+IF(VLOOKUP(K216,SETUP!A375:E380,5)/64*D56/A56&gt;9.99999,10))))+IF(A56=0,0,IF(A56&gt;0,IF(K12=2,IF(VLOOKUP(K216,SETUP!A375:E380,5)/16*D56/A56&lt;10,VLOOKUP(K216,SETUP!A375:E380,5)/16*D56/A56)+IF(VLOOKUP(K216,SETUP!A375:E380,5)/16*D56/A56&gt;9.99999,10))))+IF(A56=0,0,IF(A56&gt;0,IF(K12=4,IF(VLOOKUP(K216,SETUP!A375:E380,5)/4*D56/A56&lt;10,VLOOKUP(K216,SETUP!A375:E380,5)/4*D56/A56)+IF(VLOOKUP(K216,SETUP!A375:E380,5)/4*D56/A56&gt;9.99999,10))))+IF(A56=0,0,IF(A56&gt;0,IF(K12=8,IF(VLOOKUP(K216,SETUP!A375:E380,5)*D56/A56&lt;10,VLOOKUP(K216,SETUP!A375:E380,5)*D56/A56)+IF(VLOOKUP(K216,SETUP!A375:E380,5)*D56/A56&gt;9.99999,10))))+IF(A56=0,0,IF(A56&gt;0,IF(K12=24,IF(VLOOKUP(K216,SETUP!A375:E380,5)*9*D56/A56&lt;10,VLOOKUP(K216,SETUP!A375:E380,5)*9*D56/A56)+IF(VLOOKUP(K216,SETUP!A375:E380,5)*9*D56/A56&gt;9.99999,10))))+IF(A56=0,0,IF(A56&gt;0,IF(K12=72,IF(VLOOKUP(K216,SETUP!A375:E380,5)*81*D56/A56&lt;10,VLOOKUP(K216,SETUP!A375:E380,5)*81*D56/A56)+IF(VLOOKUP(K216,SETUP!A375:E380,5)*81*D56/A56&gt;9.99999,10))))</f>
        <v>0</v>
      </c>
      <c r="K56" s="546">
        <f>IF(A56=0,0)+IF((A56*((VLOOKUP(K216,SETUP!A375:D380,4,TRUE))*(100%+I56))*5*J56)&gt;0,FLOOR((((A56*((VLOOKUP(K216,SETUP!A375:D380,4,TRUE))*(100%+I56))*5*J56))/12*K1),1))</f>
        <v>0</v>
      </c>
      <c r="L56" s="5"/>
      <c r="M56" s="5"/>
      <c r="N56" s="5"/>
      <c r="O56" s="5"/>
      <c r="P56" s="5"/>
      <c r="Q56" s="5"/>
      <c r="R56" s="5"/>
      <c r="S56" s="5"/>
      <c r="T56" s="5"/>
      <c r="U56" s="5"/>
      <c r="V56" s="5"/>
    </row>
    <row r="57" spans="1:22" ht="12.75" customHeight="1">
      <c r="A57" s="283"/>
      <c r="B57" s="473" t="str">
        <f>VLOOKUP(K217,SETUP!$A$375:$D$380,2,TRUE)</f>
        <v>Pesca in lago, costa 4,70</v>
      </c>
      <c r="C57" s="639" t="s">
        <v>521</v>
      </c>
      <c r="D57" s="295"/>
      <c r="E57" s="547">
        <f>A57*K1*(VLOOKUP(K217,SETUP!A375:D380,3,TRUE))</f>
        <v>0</v>
      </c>
      <c r="F57" s="547">
        <f>A57*I27*K1</f>
        <v>0</v>
      </c>
      <c r="G57" s="547">
        <f>A57*K1*K27</f>
        <v>0</v>
      </c>
      <c r="H57" s="296"/>
      <c r="I57" s="297"/>
      <c r="J57" s="545">
        <f>IF(A57=0,0,IF(A57&gt;0,IF(K12=1,IF(VLOOKUP(K217,SETUP!A375:E380,5)/64*D57/A57&lt;10,VLOOKUP(K217,SETUP!A375:E380,5)/64*D57/A57)+IF(VLOOKUP(K217,SETUP!A375:E380,5)/64*D57/A57&gt;9.99999,10))))+IF(A57=0,0,IF(A57&gt;0,IF(K12=2,IF(VLOOKUP(K217,SETUP!A375:E380,5)/16*D57/A57&lt;10,VLOOKUP(K217,SETUP!A375:E380,5)/16*D57/A57)+IF(VLOOKUP(K217,SETUP!A375:E380,5)/16*D57/A57&gt;9.99999,10))))+IF(A57=0,0,IF(A57&gt;0,IF(K12=4,IF(VLOOKUP(K217,SETUP!A375:E380,5)/4*D57/A57&lt;10,VLOOKUP(K217,SETUP!A375:E380,5)/4*D57/A57)+IF(VLOOKUP(K217,SETUP!A375:E380,5)/4*D57/A57&gt;9.99999,10))))+IF(A57=0,0,IF(A57&gt;0,IF(K12=8,IF(VLOOKUP(K217,SETUP!A375:E380,5)*D57/A57&lt;10,VLOOKUP(K217,SETUP!A375:E380,5)*D57/A57)+IF(VLOOKUP(K217,SETUP!A375:E380,5)*D57/A57&gt;9.99999,10))))+IF(A57=0,0,IF(A57&gt;0,IF(K12=24,IF(VLOOKUP(K217,SETUP!A375:E380,5)*9*D57/A57&lt;10,VLOOKUP(K217,SETUP!A375:E380,5)*9*D57/A57)+IF(VLOOKUP(K217,SETUP!A375:E380,5)*9*D57/A57&gt;9.99999,10))))+IF(A57=0,0,IF(A57&gt;0,IF(K12=72,IF(VLOOKUP(K217,SETUP!A375:E380,5)*81*D57/A57&lt;10,VLOOKUP(K217,SETUP!A375:E380,5)*81*D57/A57)+IF(VLOOKUP(K217,SETUP!A375:E380,5)*81*D57/A57&gt;9.99999,10))))</f>
        <v>0</v>
      </c>
      <c r="K57" s="548">
        <f>IF(A57=0,0)+IF((A57*((VLOOKUP(K217,SETUP!A375:D380,4,TRUE))*(100%+I57))*5*J57)&gt;0,FLOOR((((A57*((VLOOKUP(K217,SETUP!A375:D380,4,TRUE))*(100%+I57))*5*J57))/12*K1),1))</f>
        <v>0</v>
      </c>
      <c r="L57" s="5"/>
      <c r="M57" s="5"/>
      <c r="N57" s="5"/>
      <c r="O57" s="5"/>
      <c r="P57" s="5"/>
      <c r="Q57" s="5"/>
      <c r="R57" s="5"/>
      <c r="S57" s="5"/>
      <c r="T57" s="5"/>
      <c r="U57" s="5"/>
      <c r="V57" s="5"/>
    </row>
    <row r="58" spans="1:22" ht="12.75" customHeight="1">
      <c r="A58" s="287"/>
      <c r="B58" s="474" t="str">
        <f>VLOOKUP(K218,SETUP!$A$375:$D$380,2,TRUE)</f>
        <v>Pesca in mare, costa 3,85</v>
      </c>
      <c r="C58" s="639" t="s">
        <v>521</v>
      </c>
      <c r="D58" s="298"/>
      <c r="E58" s="549">
        <f>A58*K1*(VLOOKUP(K218,SETUP!A375:D380,3,TRUE))</f>
        <v>0</v>
      </c>
      <c r="F58" s="549">
        <f>A58*I27*K1</f>
        <v>0</v>
      </c>
      <c r="G58" s="549">
        <f>A58*K1*K27</f>
        <v>0</v>
      </c>
      <c r="H58" s="296"/>
      <c r="I58" s="299"/>
      <c r="J58" s="550">
        <f>IF(A58=0,0,IF(A58&gt;0,IF(K12=1,IF(VLOOKUP(K218,SETUP!A375:E380,5)/64*D58/A58&lt;10,VLOOKUP(K218,SETUP!A375:E380,5)/64*D58/A58)+IF(VLOOKUP(K218,SETUP!A375:E380,5)/64*D58/A58&gt;9.99999,10))))+IF(A58=0,0,IF(A58&gt;0,IF(K12=2,IF(VLOOKUP(K218,SETUP!A375:E380,5)/16*D58/A58&lt;10,VLOOKUP(K218,SETUP!A375:E380,5)/16*D58/A58)+IF(VLOOKUP(K218,SETUP!A375:E380,5)/16*D58/A58&gt;9.99999,10))))+IF(A58=0,0,IF(A58&gt;0,IF(K12=4,IF(VLOOKUP(K218,SETUP!A375:E380,5)/4*D58/A58&lt;10,VLOOKUP(K218,SETUP!A375:E380,5)/4*D58/A58)+IF(VLOOKUP(K218,SETUP!A375:E380,5)/4*D58/A58&gt;9.99999,10))))+IF(A58=0,0,IF(A58&gt;0,IF(K12=8,IF(VLOOKUP(K218,SETUP!A375:E380,5)*D58/A58&lt;10,VLOOKUP(K218,SETUP!A375:E380,5)*D58/A58)+IF(VLOOKUP(K218,SETUP!A375:E380,5)*D58/A58&gt;9.99999,10))))+IF(A58=0,0,IF(A58&gt;0,IF(K12=24,IF(VLOOKUP(K218,SETUP!A375:E380,5)*9*D58/A58&lt;10,VLOOKUP(K218,SETUP!A375:E380,5)*9*D58/A58)+IF(VLOOKUP(K218,SETUP!A375:E380,5)*9*D58/A58&gt;9.99999,10))))+IF(A58=0,0,IF(A58&gt;0,IF(K12=72,IF(VLOOKUP(K218,SETUP!A375:E380,5)*81*D58/A58&lt;10,VLOOKUP(K218,SETUP!A375:E380,5)*81*D58/A58)+IF(VLOOKUP(K218,SETUP!A375:E380,5)*81*D58/A58&gt;9.99999,10))))</f>
        <v>0</v>
      </c>
      <c r="K58" s="551">
        <f>IF(A58=0,0)+IF((A58*((VLOOKUP(K218,SETUP!A375:D380,4,TRUE))*(100%+I58))*5*J58)&gt;0,FLOOR((((A58*((VLOOKUP(K218,SETUP!A375:D380,4,TRUE))*(100%+I58))*5*J58))/12*K1),1))</f>
        <v>0</v>
      </c>
      <c r="L58" s="5"/>
      <c r="M58" s="5"/>
      <c r="N58" s="5"/>
      <c r="O58" s="5"/>
      <c r="P58" s="5"/>
      <c r="Q58" s="5"/>
      <c r="R58" s="5"/>
      <c r="S58" s="5"/>
      <c r="T58" s="5"/>
      <c r="U58" s="5"/>
      <c r="V58" s="5"/>
    </row>
    <row r="59" spans="1:22" ht="12.75" customHeight="1">
      <c r="A59" s="283"/>
      <c r="B59" s="475" t="str">
        <f>VLOOKUP(K220,SETUP!$A$383:$D$401,2,TRUE)</f>
        <v>---</v>
      </c>
      <c r="C59" s="640" t="s">
        <v>339</v>
      </c>
      <c r="D59" s="645"/>
      <c r="E59" s="524">
        <f>A59*K1*(VLOOKUP(K220,SETUP!A383:C401,3,TRUE))</f>
        <v>0</v>
      </c>
      <c r="F59" s="535">
        <f>A59*I27*K1</f>
        <v>0</v>
      </c>
      <c r="G59" s="524">
        <f>A59*K1*K27</f>
        <v>0</v>
      </c>
      <c r="H59" s="657" t="s">
        <v>434</v>
      </c>
      <c r="I59" s="658"/>
      <c r="J59" s="659"/>
      <c r="K59" s="660"/>
      <c r="L59" s="5"/>
      <c r="M59" s="5"/>
      <c r="N59" s="5"/>
      <c r="O59" s="5"/>
      <c r="P59" s="5"/>
      <c r="Q59" s="5"/>
      <c r="R59" s="5"/>
      <c r="S59" s="5"/>
      <c r="T59" s="5"/>
      <c r="U59" s="5"/>
      <c r="V59" s="5"/>
    </row>
    <row r="60" spans="1:22" ht="12.75" customHeight="1">
      <c r="A60" s="283"/>
      <c r="B60" s="475" t="str">
        <f>VLOOKUP(K221,SETUP!$A$383:$D$401,2,TRUE)</f>
        <v>---</v>
      </c>
      <c r="C60" s="641" t="s">
        <v>336</v>
      </c>
      <c r="D60" s="646"/>
      <c r="E60" s="524">
        <f>A60*K1*(VLOOKUP(K221,SETUP!A383:C401,3,TRUE))</f>
        <v>0</v>
      </c>
      <c r="F60" s="523">
        <f>A60*I27*K1</f>
        <v>0</v>
      </c>
      <c r="G60" s="524">
        <f>A60*K1*K27</f>
        <v>0</v>
      </c>
      <c r="H60" s="657" t="s">
        <v>435</v>
      </c>
      <c r="I60" s="659"/>
      <c r="J60" s="659"/>
      <c r="K60" s="660"/>
      <c r="L60" s="5"/>
      <c r="M60" s="5"/>
      <c r="N60" s="5"/>
      <c r="O60" s="5"/>
      <c r="P60" s="5"/>
      <c r="Q60" s="5"/>
      <c r="R60" s="5"/>
      <c r="S60" s="5"/>
      <c r="T60" s="5"/>
      <c r="U60" s="5"/>
      <c r="V60" s="5"/>
    </row>
    <row r="61" spans="1:22" ht="12.75" customHeight="1" thickBot="1">
      <c r="A61" s="283"/>
      <c r="B61" s="475" t="str">
        <f>VLOOKUP(K222,SETUP!$A$383:$D$401,2,TRUE)</f>
        <v>---</v>
      </c>
      <c r="C61" s="641" t="s">
        <v>490</v>
      </c>
      <c r="D61" s="646"/>
      <c r="E61" s="524">
        <f>A61*K1*(VLOOKUP(K222,SETUP!A383:C401,3,TRUE))</f>
        <v>0</v>
      </c>
      <c r="F61" s="523">
        <f>A61*I27*K1</f>
        <v>0</v>
      </c>
      <c r="G61" s="524">
        <f>A61*K1*K27</f>
        <v>0</v>
      </c>
      <c r="H61" s="657" t="s">
        <v>436</v>
      </c>
      <c r="I61" s="661"/>
      <c r="J61" s="661"/>
      <c r="K61" s="662"/>
      <c r="L61" s="5"/>
      <c r="M61" s="5"/>
      <c r="N61" s="5"/>
      <c r="O61" s="5"/>
      <c r="P61" s="5"/>
      <c r="Q61" s="5"/>
      <c r="R61" s="5"/>
      <c r="S61" s="5"/>
      <c r="T61" s="5"/>
      <c r="U61" s="5"/>
      <c r="V61" s="5"/>
    </row>
    <row r="62" spans="1:22" ht="12.75" customHeight="1">
      <c r="A62" s="283"/>
      <c r="B62" s="476" t="str">
        <f>VLOOKUP(K223,SETUP!$A$383:$D$401,2,TRUE)</f>
        <v>---</v>
      </c>
      <c r="C62" s="641" t="s">
        <v>491</v>
      </c>
      <c r="D62" s="646"/>
      <c r="E62" s="523">
        <f>A62*K1*(VLOOKUP(K223,SETUP!A383:C401,3,TRUE))</f>
        <v>0</v>
      </c>
      <c r="F62" s="523">
        <f>A62*I27*K1</f>
        <v>0</v>
      </c>
      <c r="G62" s="523">
        <f>A62*K1*K27</f>
        <v>0</v>
      </c>
      <c r="H62" s="300" t="s">
        <v>312</v>
      </c>
      <c r="I62" s="663" t="s">
        <v>763</v>
      </c>
      <c r="J62" s="477"/>
      <c r="K62" s="478" t="str">
        <f>VLOOKUP(B226,SETUP!A404:B405,2,TRUE)</f>
        <v>ATTIVO</v>
      </c>
      <c r="L62" s="5"/>
      <c r="M62" s="5"/>
      <c r="N62" s="5"/>
      <c r="O62" s="5"/>
      <c r="P62" s="5"/>
      <c r="Q62" s="5"/>
      <c r="R62" s="5"/>
      <c r="S62" s="5"/>
      <c r="T62" s="5"/>
      <c r="U62" s="5"/>
      <c r="V62" s="5"/>
    </row>
    <row r="63" spans="1:22" ht="12.75" customHeight="1">
      <c r="A63" s="283"/>
      <c r="B63" s="476" t="str">
        <f>VLOOKUP(K224,SETUP!$A$383:$D$401,2,TRUE)</f>
        <v>---</v>
      </c>
      <c r="C63" s="641" t="s">
        <v>492</v>
      </c>
      <c r="D63" s="646"/>
      <c r="E63" s="523">
        <f>A63*K1*(VLOOKUP(K224,SETUP!A383:C401,3,TRUE))</f>
        <v>0</v>
      </c>
      <c r="F63" s="523">
        <f>A63*I27*K1</f>
        <v>0</v>
      </c>
      <c r="G63" s="523">
        <f>A63*K1*K27</f>
        <v>0</v>
      </c>
      <c r="H63" s="301" t="s">
        <v>647</v>
      </c>
      <c r="I63" s="664" t="s">
        <v>637</v>
      </c>
      <c r="J63" s="440"/>
      <c r="K63" s="665">
        <f>ROUND((-IF(K62="attivo",((SUM(A29:A65))*K1*9))+IF(K62="non attivo",0)),1)</f>
        <v>0</v>
      </c>
      <c r="L63" s="5"/>
      <c r="M63" s="5"/>
      <c r="N63" s="5"/>
      <c r="O63" s="5"/>
      <c r="P63" s="5"/>
      <c r="Q63" s="5"/>
      <c r="R63" s="5"/>
      <c r="S63" s="5"/>
      <c r="T63" s="5"/>
      <c r="U63" s="5"/>
      <c r="V63" s="5"/>
    </row>
    <row r="64" spans="1:22" ht="12.75" customHeight="1">
      <c r="A64" s="283"/>
      <c r="B64" s="553" t="s">
        <v>129</v>
      </c>
      <c r="C64" s="641" t="s">
        <v>493</v>
      </c>
      <c r="D64" s="647"/>
      <c r="E64" s="523">
        <f>A64*K1*1</f>
        <v>0</v>
      </c>
      <c r="F64" s="523">
        <f>A64*I27*K1</f>
        <v>0</v>
      </c>
      <c r="G64" s="523">
        <f>A64*K1*K27</f>
        <v>0</v>
      </c>
      <c r="H64" s="301" t="s">
        <v>648</v>
      </c>
      <c r="I64" s="664" t="s">
        <v>633</v>
      </c>
      <c r="J64" s="440"/>
      <c r="K64" s="665">
        <f>ROUND((-IF(K62="attivo",((SUM(A66:A69))*K1*9*2.5))+IF(K62="non attivo",0)),1)</f>
        <v>0</v>
      </c>
      <c r="L64" s="5"/>
      <c r="M64" s="5"/>
      <c r="N64" s="5"/>
      <c r="O64" s="5"/>
      <c r="P64" s="5"/>
      <c r="Q64" s="5"/>
      <c r="R64" s="5"/>
      <c r="S64" s="5"/>
      <c r="T64" s="5"/>
      <c r="U64" s="5"/>
      <c r="V64" s="5"/>
    </row>
    <row r="65" spans="1:22" ht="12.75" customHeight="1">
      <c r="A65" s="287"/>
      <c r="B65" s="651" t="s">
        <v>427</v>
      </c>
      <c r="C65" s="642" t="s">
        <v>494</v>
      </c>
      <c r="D65" s="648"/>
      <c r="E65" s="531">
        <f>A65*K1*2</f>
        <v>0</v>
      </c>
      <c r="F65" s="531">
        <f>A65*I27*K1</f>
        <v>0</v>
      </c>
      <c r="G65" s="531">
        <f>A65*K1*K27</f>
        <v>0</v>
      </c>
      <c r="H65" s="301" t="s">
        <v>649</v>
      </c>
      <c r="I65" s="664" t="s">
        <v>634</v>
      </c>
      <c r="J65" s="440"/>
      <c r="K65" s="665">
        <f>ROUND((-IF(K62="attivo",(A70*K1*9*25))+IF(K62="non attivo",0)),1)</f>
        <v>0</v>
      </c>
      <c r="L65" s="5"/>
      <c r="M65" s="5"/>
      <c r="N65" s="5"/>
      <c r="O65" s="5"/>
      <c r="P65" s="5"/>
      <c r="Q65" s="5"/>
      <c r="R65" s="5"/>
      <c r="S65" s="5"/>
      <c r="T65" s="5"/>
      <c r="U65" s="5"/>
      <c r="V65" s="5"/>
    </row>
    <row r="66" spans="1:22" ht="12.75" customHeight="1">
      <c r="A66" s="654">
        <f>FLOOR(IF((SUM(I14:I24))-(SUM(A29:A65))-A70=0,"0",IF((SUM(I14:I24))-(SUM(A29:A65))-A70&gt;0,((SUM(I14:I24))-(SUM(A29:A65))-A70)/2/4*3)),1)+CEILING(IF((SUM(I14:I24))-(SUM(A29:A65))-A67-A68-A69-A70&gt;0,(SUM(I14:I24))-(SUM(A29:A65))-A67-A68-A69-A70-((SUM(I14:I24))-(SUM(A29:A65))-A70)/2/4*3),1)</f>
        <v>0</v>
      </c>
      <c r="B66" s="652" t="s">
        <v>430</v>
      </c>
      <c r="C66" s="640" t="s">
        <v>362</v>
      </c>
      <c r="D66" s="645"/>
      <c r="E66" s="554">
        <f>A66*K1*2</f>
        <v>0</v>
      </c>
      <c r="F66" s="535">
        <f>A66*I27*K1</f>
        <v>0</v>
      </c>
      <c r="G66" s="535">
        <f>A66*K1*K27</f>
        <v>0</v>
      </c>
      <c r="H66" s="301" t="s">
        <v>650</v>
      </c>
      <c r="I66" s="666" t="s">
        <v>635</v>
      </c>
      <c r="J66" s="440"/>
      <c r="K66" s="667">
        <f>ROUND((-IF(K62="attivo",(((SUM(C108:C137))+(SUM(C139:C176))+((SUM(C178:C182))*7))*2*K1*2.5))+IF(K62="non attivo",0)),1)</f>
        <v>0</v>
      </c>
      <c r="L66" s="5"/>
      <c r="M66" s="5"/>
      <c r="N66" s="5"/>
      <c r="O66" s="5"/>
      <c r="P66" s="5"/>
      <c r="Q66" s="5"/>
      <c r="R66" s="5"/>
      <c r="S66" s="5"/>
      <c r="T66" s="5"/>
      <c r="U66" s="5"/>
      <c r="V66" s="5"/>
    </row>
    <row r="67" spans="1:22" ht="12.75" customHeight="1">
      <c r="A67" s="654">
        <f>FLOOR(IF((SUM(I14:I24))-(SUM(A29:A65))-A70=0,"0",IF((SUM(I14:I24))-(SUM(A29:A65))-A70&gt;0,((SUM(I14:I24))-(SUM(A29:A65))-A70)/2/4)),1)</f>
        <v>0</v>
      </c>
      <c r="B67" s="552" t="s">
        <v>428</v>
      </c>
      <c r="C67" s="641" t="s">
        <v>363</v>
      </c>
      <c r="D67" s="646"/>
      <c r="E67" s="555">
        <f>A67*K1*3</f>
        <v>0</v>
      </c>
      <c r="F67" s="524">
        <f>A67*I27*K1</f>
        <v>0</v>
      </c>
      <c r="G67" s="523">
        <f>A67*K1*K27</f>
        <v>0</v>
      </c>
      <c r="H67" s="303" t="s">
        <v>311</v>
      </c>
      <c r="I67" s="664" t="s">
        <v>636</v>
      </c>
      <c r="J67" s="440"/>
      <c r="K67" s="668">
        <f>ROUND((-IF(K62="attivo",(IF(F101&lt;1,0,IF(F101&gt;0,(F101)*2*K1,))))+IF(K62="non attivo",0)),1)</f>
        <v>0</v>
      </c>
      <c r="L67" s="5"/>
      <c r="M67" s="5"/>
      <c r="N67" s="5"/>
      <c r="O67" s="5"/>
      <c r="P67" s="5"/>
      <c r="Q67" s="5"/>
      <c r="R67" s="5"/>
      <c r="S67" s="5"/>
      <c r="T67" s="5"/>
      <c r="U67" s="5"/>
      <c r="V67" s="5"/>
    </row>
    <row r="68" spans="1:22" ht="12.75" customHeight="1">
      <c r="A68" s="654">
        <f>FLOOR(IF((SUM(I14:I24))-(SUM(A29:A65))-A70=0,"0",IF((SUM(I14:I24))-(SUM(A29:A65))-A70&gt;0,((SUM(I14:I24))-(SUM(A29:A65))-A70)/2/4*3)),1)</f>
        <v>0</v>
      </c>
      <c r="B68" s="653" t="s">
        <v>172</v>
      </c>
      <c r="C68" s="641" t="s">
        <v>505</v>
      </c>
      <c r="D68" s="646"/>
      <c r="E68" s="555">
        <f>A68*K1*2</f>
        <v>0</v>
      </c>
      <c r="F68" s="524">
        <f>A68*I27*K1</f>
        <v>0</v>
      </c>
      <c r="G68" s="523">
        <f>A68*K1*K27</f>
        <v>0</v>
      </c>
      <c r="H68" s="304" t="s">
        <v>670</v>
      </c>
      <c r="I68" s="666" t="s">
        <v>677</v>
      </c>
      <c r="J68" s="556"/>
      <c r="K68" s="667">
        <f>ROUND(((SUM(K63:K67))/12*K1),1)</f>
        <v>0</v>
      </c>
      <c r="L68" s="125"/>
      <c r="M68" s="5"/>
      <c r="N68" s="125"/>
      <c r="O68" s="5"/>
      <c r="P68" s="5"/>
      <c r="Q68" s="5"/>
      <c r="R68" s="5"/>
      <c r="S68" s="5"/>
      <c r="T68" s="5"/>
      <c r="U68" s="5"/>
      <c r="V68" s="5"/>
    </row>
    <row r="69" spans="1:22" ht="12.75" customHeight="1">
      <c r="A69" s="654">
        <f>FLOOR(IF((SUM(I14:I24))-(SUM(A29:A65))-A70=0,"0",IF((SUM(I14:I24))-(SUM(A29:A65))-A70&gt;0,((SUM(I14:I24))-(SUM(A29:A65))-A70)/2/4)),1)</f>
        <v>0</v>
      </c>
      <c r="B69" s="653" t="s">
        <v>429</v>
      </c>
      <c r="C69" s="641" t="s">
        <v>504</v>
      </c>
      <c r="D69" s="646"/>
      <c r="E69" s="555">
        <f>A69*K1*3</f>
        <v>0</v>
      </c>
      <c r="F69" s="524">
        <f>A69*I27*K1</f>
        <v>0</v>
      </c>
      <c r="G69" s="523">
        <f>A69*K1*K27</f>
        <v>0</v>
      </c>
      <c r="H69" s="306" t="s">
        <v>669</v>
      </c>
      <c r="I69" s="669" t="s">
        <v>678</v>
      </c>
      <c r="J69" s="479"/>
      <c r="K69" s="667">
        <f>ROUND(IF(K62="attivo",((SUM(K29:K58)))/12*K1)+IF(K62="non attivo",0),1)</f>
        <v>0</v>
      </c>
      <c r="L69" s="5"/>
      <c r="M69" s="5"/>
      <c r="N69" s="5"/>
      <c r="O69" s="5"/>
      <c r="P69" s="5"/>
      <c r="Q69" s="5"/>
      <c r="R69" s="5"/>
      <c r="S69" s="5"/>
      <c r="T69" s="5"/>
      <c r="U69" s="5"/>
      <c r="V69" s="5"/>
    </row>
    <row r="70" spans="1:22" ht="12.75" customHeight="1">
      <c r="A70" s="654">
        <f>FLOOR((SUM(I14:I24))*0.5/100,1)</f>
        <v>0</v>
      </c>
      <c r="B70" s="653" t="s">
        <v>265</v>
      </c>
      <c r="C70" s="643" t="s">
        <v>337</v>
      </c>
      <c r="D70" s="649"/>
      <c r="E70" s="557">
        <v>0</v>
      </c>
      <c r="F70" s="558">
        <f>A70*I27*K1</f>
        <v>0</v>
      </c>
      <c r="G70" s="523">
        <v>0</v>
      </c>
      <c r="H70" s="306" t="s">
        <v>652</v>
      </c>
      <c r="I70" s="670" t="str">
        <f>VLOOKUP(E226,SETUP!A408:B414,2,TRUE)</f>
        <v>Vicecap. NON creano cibo!</v>
      </c>
      <c r="J70" s="479"/>
      <c r="K70" s="667">
        <f>ROUND(IF(K62="attivo",(C123*(VLOOKUP(E226,SETUP!A408:C414,3,TRUE))*2*K1)+IF(K62="non attivo",0)),1)</f>
        <v>0</v>
      </c>
      <c r="L70" s="5"/>
      <c r="M70" s="5"/>
      <c r="N70" s="5"/>
      <c r="O70" s="5"/>
      <c r="P70" s="5"/>
      <c r="Q70" s="5"/>
      <c r="R70" s="5"/>
      <c r="S70" s="5"/>
      <c r="T70" s="5"/>
      <c r="U70" s="5"/>
      <c r="V70" s="5"/>
    </row>
    <row r="71" spans="1:22" ht="12.75" customHeight="1" thickBot="1">
      <c r="A71" s="655">
        <f>SUM(A29:A70)</f>
        <v>0</v>
      </c>
      <c r="B71" s="656" t="str">
        <f>IF(A71&lt;(SUM(I14:I24)),"MANCANO famiglie",IF(A71=(SUM(I14:I24)),"TOT. FAMIGLIE OK",IF(A71&gt;(SUM(I14:I24)),"TROPPE famiglie")))</f>
        <v>TOT. FAMIGLIE OK</v>
      </c>
      <c r="C71" s="644" t="s">
        <v>357</v>
      </c>
      <c r="D71" s="650"/>
      <c r="E71" s="559">
        <f>IF(K82&gt;199,SUM(E29:E70))+IF(K82&gt;299,(SUM(E29:E70))*10/100)+IF(AND(H83="Sfiduciato",K83="no"),(SUM(E29:E70))/2,IF(AND(H83="Sfiduciato",K83="si"),(SUM(E29:E70))*1/3,))+IF(AND(H83="In rivolta",K83="no"),(SUM(E29:E70))*1/3,IF(AND(H83="In rivolta",K83="si"),(SUM(E29:E70))*1/4,))+IF(AND(H83="Bellicoso",K83="no"),(SUM(E29:E70))*1/4,IF(AND(H83="Bellicoso",K83="si"),0))+IF(H83="Turbolento",0)</f>
        <v>0</v>
      </c>
      <c r="F71" s="560">
        <f>IF(K82&gt;199,SUM(F29:F70))+IF(K82&gt;299,(SUM(F29:F70))*10/100)+IF(AND(H83="Sfiduciato",K83="no"),(SUM(F29:F70))/2,IF(AND(H83="Sfiduciato",K83="si"),(SUM(F29:F70))*1/3,))+IF(AND(H83="In rivolta",K83="no"),(SUM(F29:F70))*1/3,IF(AND(H83="In rivolta",K83="si"),(SUM(F29:F70))*1/4,))+IF(AND(H83="Bellicoso",K83="no"),(SUM(F29:F70))*1/4,IF(AND(H83="Bellicoso",K83="si"),0))+IF(H83="Turbolento",0)</f>
        <v>0</v>
      </c>
      <c r="G71" s="560">
        <f>IF(K82&gt;199,SUM(G29:G70))+IF(K82&gt;299,(SUM(G29:G70))*10/100)+IF(AND(H83="Sfiduciato",K83="no"),(SUM(G29:G70))/2,IF(AND(H83="Sfiduciato",K83="si"),(SUM(G29:G70))*1/3,))+IF(AND(H83="In rivolta",K83="no"),(SUM(G29:G70))*1/3,IF(AND(H83="In rivolta",K83="si"),(SUM(G29:G70))*1/4,))+IF(AND(H83="Bellicoso",K83="no"),(SUM(G29:G70))*1/4,IF(AND(H83="Bellicoso",K83="si"),0))+IF(H83="Turbolento",0)</f>
        <v>0</v>
      </c>
      <c r="H71" s="306" t="s">
        <v>668</v>
      </c>
      <c r="I71" s="441" t="s">
        <v>632</v>
      </c>
      <c r="J71" s="480"/>
      <c r="K71" s="307"/>
      <c r="L71" s="5"/>
      <c r="M71" s="5"/>
      <c r="N71" s="5"/>
      <c r="O71" s="5"/>
      <c r="P71" s="5"/>
      <c r="Q71" s="5"/>
      <c r="R71" s="5"/>
      <c r="S71" s="5"/>
      <c r="T71" s="5"/>
      <c r="U71" s="5"/>
      <c r="V71" s="5"/>
    </row>
    <row r="72" spans="1:22" ht="12.75" customHeight="1" thickBot="1">
      <c r="A72" s="698" t="s">
        <v>227</v>
      </c>
      <c r="B72" s="699" t="s">
        <v>499</v>
      </c>
      <c r="C72" s="626" t="s">
        <v>500</v>
      </c>
      <c r="D72" s="626" t="s">
        <v>75</v>
      </c>
      <c r="E72" s="626" t="s">
        <v>501</v>
      </c>
      <c r="F72" s="700" t="s">
        <v>358</v>
      </c>
      <c r="G72" s="696"/>
      <c r="H72" s="306" t="s">
        <v>667</v>
      </c>
      <c r="I72" s="442" t="b">
        <f>(IF(K72&lt;0,"unità di cibo MANCANTI",IF(K72&gt;1,"SURPLUS unità di cibo")))</f>
        <v>0</v>
      </c>
      <c r="J72" s="481"/>
      <c r="K72" s="667">
        <f>K68+K70+K69+K71</f>
        <v>0</v>
      </c>
      <c r="L72" s="5"/>
      <c r="M72" s="5"/>
      <c r="N72" s="5"/>
      <c r="O72" s="5"/>
      <c r="P72" s="5"/>
      <c r="Q72" s="5"/>
      <c r="R72" s="5"/>
      <c r="S72" s="5"/>
      <c r="T72" s="5"/>
      <c r="U72" s="5"/>
      <c r="V72" s="5"/>
    </row>
    <row r="73" spans="1:22" ht="12.75" customHeight="1" thickBot="1">
      <c r="A73" s="308"/>
      <c r="B73" s="309">
        <f>B1</f>
        <v>0</v>
      </c>
      <c r="C73" s="310"/>
      <c r="D73" s="310">
        <f>A12</f>
        <v>0</v>
      </c>
      <c r="E73" s="228" t="s">
        <v>502</v>
      </c>
      <c r="F73" s="311"/>
      <c r="G73" s="697" t="str">
        <f>IF((SUM(A29:A58)=0),"NESSUNA",IF(((SUM(A29:A58))/A71)&gt;0,(SUM(A29:A58))/A71))</f>
        <v>NESSUNA</v>
      </c>
      <c r="H73" s="930" t="s">
        <v>651</v>
      </c>
      <c r="I73" s="443" t="str">
        <f>VLOOKUP(G226,SETUP!A417:B419,2,TRUE)</f>
        <v>Se manca cibo, seleziona:</v>
      </c>
      <c r="J73" s="482"/>
      <c r="K73" s="671">
        <f>IF(K72=0,0,IF(K72&gt;0,0,IF(K72&lt;0,(VLOOKUP(G226,SETUP!A417:C419,3))*K72)))</f>
        <v>0</v>
      </c>
      <c r="L73" s="5"/>
      <c r="M73" s="5"/>
      <c r="N73" s="5"/>
      <c r="O73" s="5"/>
      <c r="P73" s="5"/>
      <c r="Q73" s="5"/>
      <c r="R73" s="5"/>
      <c r="S73" s="5"/>
      <c r="T73" s="5"/>
      <c r="U73" s="5"/>
      <c r="V73" s="5"/>
    </row>
    <row r="74" spans="1:22" ht="12.75" customHeight="1">
      <c r="A74" s="312"/>
      <c r="B74" s="237"/>
      <c r="C74" s="313"/>
      <c r="D74" s="313"/>
      <c r="E74" s="228"/>
      <c r="F74" s="314"/>
      <c r="G74" s="679" t="s">
        <v>231</v>
      </c>
      <c r="H74" s="680"/>
      <c r="I74" s="672" t="s">
        <v>309</v>
      </c>
      <c r="J74" s="673"/>
      <c r="K74" s="674" t="s">
        <v>355</v>
      </c>
      <c r="L74" s="5"/>
      <c r="M74" s="5"/>
      <c r="N74" s="5"/>
      <c r="O74" s="5"/>
      <c r="P74" s="5"/>
      <c r="Q74" s="5"/>
      <c r="R74" s="5"/>
      <c r="S74" s="5"/>
      <c r="T74" s="5"/>
      <c r="U74" s="5"/>
      <c r="V74" s="5"/>
    </row>
    <row r="75" spans="1:22" ht="12.75" customHeight="1">
      <c r="A75" s="312"/>
      <c r="B75" s="315"/>
      <c r="C75" s="313"/>
      <c r="D75" s="315"/>
      <c r="E75" s="228"/>
      <c r="F75" s="316"/>
      <c r="G75" s="681" t="s">
        <v>216</v>
      </c>
      <c r="H75" s="682">
        <f>ROUND(E71+F71+G71-(K80*(E71+F71+G71)),2)</f>
        <v>0</v>
      </c>
      <c r="I75" s="675">
        <f>E71+F71</f>
        <v>0</v>
      </c>
      <c r="J75" s="676" t="s">
        <v>335</v>
      </c>
      <c r="K75" s="677" t="s">
        <v>356</v>
      </c>
      <c r="L75" s="5"/>
      <c r="M75" s="5"/>
      <c r="N75" s="5"/>
      <c r="O75" s="5"/>
      <c r="P75" s="5"/>
      <c r="Q75" s="5"/>
      <c r="R75" s="5"/>
      <c r="S75" s="5"/>
      <c r="T75" s="5"/>
      <c r="U75" s="5"/>
      <c r="V75" s="5"/>
    </row>
    <row r="76" spans="1:22" ht="12.75" customHeight="1" thickBot="1">
      <c r="A76" s="312"/>
      <c r="B76" s="315"/>
      <c r="C76" s="313"/>
      <c r="D76" s="315"/>
      <c r="E76" s="228"/>
      <c r="F76" s="316"/>
      <c r="G76" s="683" t="s">
        <v>277</v>
      </c>
      <c r="H76" s="684">
        <f>A99</f>
        <v>0</v>
      </c>
      <c r="I76" s="678" t="s">
        <v>310</v>
      </c>
      <c r="J76" s="483"/>
      <c r="K76" s="484" t="str">
        <f>VLOOKUP(I188,SETUP!A158:B159,2,TRUE)</f>
        <v>NO</v>
      </c>
      <c r="L76" s="5"/>
      <c r="M76" s="5"/>
      <c r="N76" s="5"/>
      <c r="O76" s="5"/>
      <c r="P76" s="5"/>
      <c r="Q76" s="5"/>
      <c r="R76" s="5"/>
      <c r="S76" s="5"/>
      <c r="T76" s="5"/>
      <c r="U76" s="5"/>
      <c r="V76" s="5"/>
    </row>
    <row r="77" spans="1:22" ht="12.75" customHeight="1">
      <c r="A77" s="312"/>
      <c r="B77" s="315"/>
      <c r="C77" s="313"/>
      <c r="D77" s="315"/>
      <c r="E77" s="228"/>
      <c r="F77" s="314"/>
      <c r="G77" s="685" t="s">
        <v>331</v>
      </c>
      <c r="H77" s="564">
        <f>-(ROUND(IF((H75*I77)-H103&gt;0,(H75*I77)-H103,IF((H75*I77)-H103&lt;0,0,)),2))</f>
        <v>0</v>
      </c>
      <c r="I77" s="317">
        <v>0.2</v>
      </c>
      <c r="J77" s="318" t="s">
        <v>734</v>
      </c>
      <c r="K77" s="319"/>
      <c r="L77" s="5"/>
      <c r="M77" s="5"/>
      <c r="N77" s="5"/>
      <c r="O77" s="5"/>
      <c r="P77" s="5"/>
      <c r="Q77" s="5"/>
      <c r="R77" s="5"/>
      <c r="S77" s="5"/>
      <c r="T77" s="5"/>
      <c r="U77" s="5"/>
      <c r="V77" s="5"/>
    </row>
    <row r="78" spans="1:22" ht="12.75" customHeight="1">
      <c r="A78" s="312"/>
      <c r="B78" s="315"/>
      <c r="C78" s="313"/>
      <c r="D78" s="315"/>
      <c r="E78" s="228"/>
      <c r="F78" s="314"/>
      <c r="G78" s="685" t="s">
        <v>273</v>
      </c>
      <c r="H78" s="564">
        <f>-(ROUND(IF((H75*I78)-H104&gt;0,(H75*I78)-H104,IF((H75*I78)-H104&lt;0,0,)),2))</f>
        <v>0</v>
      </c>
      <c r="I78" s="317">
        <v>0.1</v>
      </c>
      <c r="J78" s="318" t="s">
        <v>734</v>
      </c>
      <c r="K78" s="320"/>
      <c r="L78" s="5"/>
      <c r="M78" s="5"/>
      <c r="N78" s="5"/>
      <c r="O78" s="5"/>
      <c r="P78" s="5"/>
      <c r="Q78" s="5"/>
      <c r="R78" s="5"/>
      <c r="S78" s="5"/>
      <c r="T78" s="5"/>
      <c r="U78" s="5"/>
      <c r="V78" s="5"/>
    </row>
    <row r="79" spans="1:22" ht="12.75" customHeight="1">
      <c r="A79" s="312"/>
      <c r="B79" s="315"/>
      <c r="C79" s="313"/>
      <c r="D79" s="315"/>
      <c r="E79" s="228"/>
      <c r="F79" s="316"/>
      <c r="G79" s="685" t="s">
        <v>330</v>
      </c>
      <c r="H79" s="682">
        <f>ROUND((H75*I79)+K73,2)</f>
        <v>0</v>
      </c>
      <c r="I79" s="321"/>
      <c r="J79" s="439" t="s">
        <v>338</v>
      </c>
      <c r="K79" s="710"/>
      <c r="L79" s="5"/>
      <c r="M79" s="5"/>
      <c r="N79" s="5"/>
      <c r="O79" s="5"/>
      <c r="P79" s="5"/>
      <c r="Q79" s="5"/>
      <c r="R79" s="5"/>
      <c r="S79" s="5"/>
      <c r="T79" s="5"/>
      <c r="U79" s="5"/>
      <c r="V79" s="5"/>
    </row>
    <row r="80" spans="1:22" ht="12.75" customHeight="1">
      <c r="A80" s="312"/>
      <c r="B80" s="315"/>
      <c r="C80" s="313"/>
      <c r="D80" s="315"/>
      <c r="E80" s="228"/>
      <c r="F80" s="316"/>
      <c r="G80" s="685" t="s">
        <v>329</v>
      </c>
      <c r="H80" s="564">
        <f>-(ROUND((SUM(H103:H176))+(SUM(K178:K182)),2))</f>
        <v>0</v>
      </c>
      <c r="I80" s="705" t="str">
        <f>IF(E71/K1&lt;15000,"NO surplus produzione!",IF(E71/K1&gt;=15000,IF(AND((K12=8),((SUM(C14:C24))/7&gt;1)),"ATT.! TIRA d10-100%:",IF(AND((K12=8),((SUM(C14:C24))/7&lt;=1)),"NO surplus produzione!",IF(AND((K12&gt;8),((SUM(C14:C24))&gt;1)),"ATT.! TIRA d10-100%:",IF(AND((K12&gt;8),((SUM(C14:C24))&lt;=1)),"NO surplus produzione!",IF((K12&lt;8),"NO surplus produzione!")))))))</f>
        <v>NO surplus produzione!</v>
      </c>
      <c r="J80" s="706"/>
      <c r="K80" s="323"/>
      <c r="L80" s="5"/>
      <c r="M80" s="5"/>
      <c r="N80" s="5"/>
      <c r="O80" s="5"/>
      <c r="P80" s="5"/>
      <c r="Q80" s="5"/>
      <c r="R80" s="5"/>
      <c r="S80" s="5"/>
      <c r="T80" s="5"/>
      <c r="U80" s="5"/>
      <c r="V80" s="5"/>
    </row>
    <row r="81" spans="1:22" ht="12.75" customHeight="1" thickBot="1">
      <c r="A81" s="312"/>
      <c r="B81" s="315"/>
      <c r="C81" s="313"/>
      <c r="D81" s="315"/>
      <c r="E81" s="228"/>
      <c r="F81" s="314"/>
      <c r="G81" s="686" t="s">
        <v>528</v>
      </c>
      <c r="H81" s="687">
        <f>SUM(H75:H80)</f>
        <v>0</v>
      </c>
      <c r="I81" s="707" t="str">
        <f>IF(I80="NO surplus produzione!","NON occorre nominare vassalli!! :D",IF(I80="ATT.! TIRA d10-100%:","Perde entrate se non crea vassalli!"))</f>
        <v>NON occorre nominare vassalli!! :D</v>
      </c>
      <c r="J81" s="708"/>
      <c r="K81" s="709"/>
      <c r="L81" s="5"/>
      <c r="M81" s="5"/>
      <c r="N81" s="5"/>
      <c r="O81" s="5"/>
      <c r="P81" s="5"/>
      <c r="Q81" s="5"/>
      <c r="R81" s="5"/>
      <c r="S81" s="5"/>
      <c r="T81" s="5"/>
      <c r="U81" s="5"/>
      <c r="V81" s="5"/>
    </row>
    <row r="82" spans="1:22" ht="12.75" customHeight="1">
      <c r="A82" s="312"/>
      <c r="B82" s="315"/>
      <c r="C82" s="313"/>
      <c r="D82" s="315"/>
      <c r="E82" s="228"/>
      <c r="F82" s="316"/>
      <c r="G82" s="688" t="s">
        <v>275</v>
      </c>
      <c r="H82" s="689"/>
      <c r="I82" s="324"/>
      <c r="J82" s="704" t="s">
        <v>257</v>
      </c>
      <c r="K82" s="325">
        <v>270</v>
      </c>
      <c r="L82" s="5"/>
      <c r="M82" s="5"/>
      <c r="N82" s="5"/>
      <c r="O82" s="5"/>
      <c r="P82" s="5"/>
      <c r="Q82" s="5"/>
      <c r="R82" s="5"/>
      <c r="S82" s="5"/>
      <c r="T82" s="5"/>
      <c r="U82" s="5"/>
      <c r="V82" s="5"/>
    </row>
    <row r="83" spans="1:22" ht="12.75" customHeight="1">
      <c r="A83" s="312"/>
      <c r="B83" s="315"/>
      <c r="C83" s="313"/>
      <c r="D83" s="315"/>
      <c r="E83" s="228"/>
      <c r="F83" s="326"/>
      <c r="G83" s="690" t="s">
        <v>421</v>
      </c>
      <c r="H83" s="691" t="str">
        <f>IF(K82&lt;50,"Turbolento",IF(K82&lt;100,"Bellicoso",IF(K82&lt;150,"In rivolta",IF(K82&lt;200,"Sfiduciato",IF(K82&lt;230,"Instabile",IF(K82&lt;270,"normale",IF(K82=270," ",IF(K82&gt;270," ",))))))))</f>
        <v> </v>
      </c>
      <c r="I83" s="701" t="str">
        <f>IF(K82&lt;270," ",IF(K82&lt;300,"Stabile",IF(K82&lt;350,"Sano",IF(K82&lt;400,"Prosperoso",IF(K82&lt;450,"Fedele",IF(K82=450,"Ideale",IF(K82&gt;450,"Ideale",)))))))</f>
        <v>Stabile</v>
      </c>
      <c r="J83" s="485" t="s">
        <v>274</v>
      </c>
      <c r="K83" s="486" t="str">
        <f>VLOOKUP(I190,SETUP!A162:B163,2,TRUE)</f>
        <v>NO</v>
      </c>
      <c r="L83" s="5"/>
      <c r="M83" s="5"/>
      <c r="N83" s="5"/>
      <c r="O83" s="5"/>
      <c r="P83" s="5"/>
      <c r="Q83" s="5"/>
      <c r="R83" s="5"/>
      <c r="S83" s="5"/>
      <c r="T83" s="5"/>
      <c r="U83" s="5"/>
      <c r="V83" s="5"/>
    </row>
    <row r="84" spans="1:22" ht="12.75" customHeight="1" thickBot="1">
      <c r="A84" s="312"/>
      <c r="B84" s="315"/>
      <c r="C84" s="313"/>
      <c r="D84" s="315"/>
      <c r="E84" s="229"/>
      <c r="F84" s="316"/>
      <c r="G84" s="692" t="s">
        <v>326</v>
      </c>
      <c r="H84" s="693">
        <f>-(FLOOR(IF(A59+A60+A61+A62+A63&gt;A71/2,A59+A60+A61+A62+A63-A71/2)/10,1))</f>
        <v>0</v>
      </c>
      <c r="I84" s="702" t="str">
        <f>(IF(H84&lt;0,"Malus al prossimo controllo consenso",IF(H84&gt;-1,"Nessun malus al prossimo controllo")))</f>
        <v>Nessun malus al prossimo controllo</v>
      </c>
      <c r="J84" s="703"/>
      <c r="K84" s="578"/>
      <c r="L84" s="5"/>
      <c r="M84" s="5"/>
      <c r="N84" s="5"/>
      <c r="O84" s="5"/>
      <c r="P84" s="5"/>
      <c r="Q84" s="5"/>
      <c r="R84" s="5"/>
      <c r="S84" s="5"/>
      <c r="T84" s="5"/>
      <c r="U84" s="5"/>
      <c r="V84" s="5"/>
    </row>
    <row r="85" spans="1:22" ht="12.75" customHeight="1">
      <c r="A85" s="312"/>
      <c r="B85" s="315"/>
      <c r="C85" s="313"/>
      <c r="D85" s="315"/>
      <c r="E85" s="229"/>
      <c r="F85" s="326"/>
      <c r="G85" s="694" t="s">
        <v>479</v>
      </c>
      <c r="H85" s="695"/>
      <c r="I85" s="327"/>
      <c r="J85" s="328"/>
      <c r="K85" s="329"/>
      <c r="L85" s="5"/>
      <c r="M85" s="5"/>
      <c r="N85" s="5"/>
      <c r="O85" s="5"/>
      <c r="P85" s="5"/>
      <c r="Q85" s="5"/>
      <c r="R85" s="5"/>
      <c r="S85" s="5"/>
      <c r="T85" s="5"/>
      <c r="U85" s="5"/>
      <c r="V85" s="5"/>
    </row>
    <row r="86" spans="1:22" ht="12.75" customHeight="1">
      <c r="A86" s="312"/>
      <c r="B86" s="315"/>
      <c r="C86" s="313"/>
      <c r="D86" s="315"/>
      <c r="E86" s="229"/>
      <c r="F86" s="326"/>
      <c r="G86" s="330"/>
      <c r="H86" s="331"/>
      <c r="I86" s="327"/>
      <c r="J86" s="332"/>
      <c r="K86" s="333"/>
      <c r="L86" s="5"/>
      <c r="M86" s="5"/>
      <c r="N86" s="5"/>
      <c r="O86" s="5"/>
      <c r="P86" s="5"/>
      <c r="Q86" s="5"/>
      <c r="R86" s="5"/>
      <c r="S86" s="5"/>
      <c r="T86" s="5"/>
      <c r="U86" s="5"/>
      <c r="V86" s="5"/>
    </row>
    <row r="87" spans="1:22" ht="12.75" customHeight="1">
      <c r="A87" s="334"/>
      <c r="B87" s="309"/>
      <c r="C87" s="310"/>
      <c r="D87" s="335"/>
      <c r="E87" s="326"/>
      <c r="F87" s="326"/>
      <c r="G87" s="336"/>
      <c r="H87" s="337"/>
      <c r="I87" s="338"/>
      <c r="J87" s="332"/>
      <c r="K87" s="577"/>
      <c r="L87" s="5"/>
      <c r="M87" s="5"/>
      <c r="N87" s="5"/>
      <c r="O87" s="5"/>
      <c r="P87" s="5"/>
      <c r="Q87" s="5"/>
      <c r="R87" s="5"/>
      <c r="S87" s="5"/>
      <c r="T87" s="5"/>
      <c r="U87" s="5"/>
      <c r="V87" s="5"/>
    </row>
    <row r="88" spans="1:22" ht="12.75" customHeight="1">
      <c r="A88" s="334"/>
      <c r="B88" s="309"/>
      <c r="C88" s="310"/>
      <c r="D88" s="335"/>
      <c r="E88" s="326"/>
      <c r="F88" s="326"/>
      <c r="G88" s="339"/>
      <c r="H88" s="337"/>
      <c r="I88" s="338"/>
      <c r="J88" s="332"/>
      <c r="K88" s="333"/>
      <c r="L88" s="5"/>
      <c r="M88" s="5"/>
      <c r="N88" s="5"/>
      <c r="O88" s="5"/>
      <c r="P88" s="5"/>
      <c r="Q88" s="5"/>
      <c r="R88" s="5"/>
      <c r="S88" s="5"/>
      <c r="T88" s="5"/>
      <c r="U88" s="5"/>
      <c r="V88" s="5"/>
    </row>
    <row r="89" spans="1:22" ht="12.75" customHeight="1">
      <c r="A89" s="334"/>
      <c r="B89" s="309"/>
      <c r="C89" s="310"/>
      <c r="D89" s="335"/>
      <c r="E89" s="326"/>
      <c r="F89" s="326"/>
      <c r="G89" s="339"/>
      <c r="H89" s="337"/>
      <c r="I89" s="338"/>
      <c r="J89" s="332"/>
      <c r="K89" s="333"/>
      <c r="L89" s="5"/>
      <c r="M89" s="5"/>
      <c r="N89" s="5"/>
      <c r="O89" s="5"/>
      <c r="P89" s="5"/>
      <c r="Q89" s="5"/>
      <c r="R89" s="5"/>
      <c r="S89" s="5"/>
      <c r="T89" s="5"/>
      <c r="U89" s="5"/>
      <c r="V89" s="5"/>
    </row>
    <row r="90" spans="1:22" ht="12.75" customHeight="1">
      <c r="A90" s="334"/>
      <c r="B90" s="340"/>
      <c r="C90" s="313"/>
      <c r="D90" s="313"/>
      <c r="E90" s="326"/>
      <c r="F90" s="326"/>
      <c r="G90" s="336"/>
      <c r="H90" s="337"/>
      <c r="I90" s="338"/>
      <c r="J90" s="332"/>
      <c r="K90" s="333"/>
      <c r="L90" s="5"/>
      <c r="M90" s="5"/>
      <c r="N90" s="5"/>
      <c r="O90" s="5"/>
      <c r="P90" s="5"/>
      <c r="Q90" s="5"/>
      <c r="R90" s="5"/>
      <c r="S90" s="5"/>
      <c r="T90" s="5"/>
      <c r="U90" s="5"/>
      <c r="V90" s="5"/>
    </row>
    <row r="91" spans="1:22" ht="12.75" customHeight="1">
      <c r="A91" s="334"/>
      <c r="B91" s="340"/>
      <c r="C91" s="313"/>
      <c r="D91" s="313"/>
      <c r="E91" s="326"/>
      <c r="F91" s="326"/>
      <c r="G91" s="339"/>
      <c r="H91" s="337"/>
      <c r="I91" s="338"/>
      <c r="J91" s="332"/>
      <c r="K91" s="333"/>
      <c r="L91" s="5"/>
      <c r="M91" s="5"/>
      <c r="N91" s="5"/>
      <c r="O91" s="5"/>
      <c r="P91" s="5"/>
      <c r="Q91" s="5"/>
      <c r="R91" s="5"/>
      <c r="S91" s="5"/>
      <c r="T91" s="5"/>
      <c r="U91" s="5"/>
      <c r="V91" s="5"/>
    </row>
    <row r="92" spans="1:22" ht="12.75" customHeight="1">
      <c r="A92" s="334"/>
      <c r="B92" s="340"/>
      <c r="C92" s="313"/>
      <c r="D92" s="341"/>
      <c r="E92" s="326"/>
      <c r="F92" s="326"/>
      <c r="G92" s="336"/>
      <c r="H92" s="337"/>
      <c r="I92" s="332"/>
      <c r="J92" s="332"/>
      <c r="K92" s="333"/>
      <c r="L92" s="5"/>
      <c r="M92" s="5"/>
      <c r="N92" s="5"/>
      <c r="O92" s="5"/>
      <c r="P92" s="5"/>
      <c r="Q92" s="5"/>
      <c r="R92" s="5"/>
      <c r="S92" s="5"/>
      <c r="T92" s="5"/>
      <c r="U92" s="5"/>
      <c r="V92" s="5"/>
    </row>
    <row r="93" spans="1:22" ht="12.75" customHeight="1">
      <c r="A93" s="334"/>
      <c r="B93" s="309"/>
      <c r="C93" s="310"/>
      <c r="D93" s="335"/>
      <c r="E93" s="326"/>
      <c r="F93" s="326"/>
      <c r="G93" s="342"/>
      <c r="H93" s="332"/>
      <c r="I93" s="332"/>
      <c r="J93" s="332"/>
      <c r="K93" s="333"/>
      <c r="L93" s="5"/>
      <c r="M93" s="5"/>
      <c r="N93" s="5"/>
      <c r="O93" s="5"/>
      <c r="P93" s="5"/>
      <c r="Q93" s="5"/>
      <c r="R93" s="5"/>
      <c r="S93" s="5"/>
      <c r="T93" s="5"/>
      <c r="U93" s="5"/>
      <c r="V93" s="5"/>
    </row>
    <row r="94" spans="1:22" ht="12.75" customHeight="1">
      <c r="A94" s="334"/>
      <c r="B94" s="310"/>
      <c r="C94" s="310"/>
      <c r="D94" s="335"/>
      <c r="E94" s="326"/>
      <c r="F94" s="326"/>
      <c r="G94" s="336"/>
      <c r="H94" s="332"/>
      <c r="I94" s="332"/>
      <c r="J94" s="241"/>
      <c r="K94" s="343"/>
      <c r="L94" s="5"/>
      <c r="M94" s="5"/>
      <c r="N94" s="5"/>
      <c r="O94" s="5"/>
      <c r="P94" s="5"/>
      <c r="Q94" s="5"/>
      <c r="R94" s="5"/>
      <c r="S94" s="5"/>
      <c r="T94" s="5"/>
      <c r="U94" s="5"/>
      <c r="V94" s="5"/>
    </row>
    <row r="95" spans="1:22" ht="12.75" customHeight="1">
      <c r="A95" s="334"/>
      <c r="B95" s="310"/>
      <c r="C95" s="310"/>
      <c r="D95" s="335"/>
      <c r="E95" s="228"/>
      <c r="F95" s="326"/>
      <c r="G95" s="342"/>
      <c r="H95" s="332"/>
      <c r="I95" s="332"/>
      <c r="J95" s="332"/>
      <c r="K95" s="333"/>
      <c r="L95" s="5"/>
      <c r="M95" s="5"/>
      <c r="N95" s="5"/>
      <c r="O95" s="5"/>
      <c r="P95" s="5"/>
      <c r="Q95" s="5"/>
      <c r="R95" s="5"/>
      <c r="S95" s="5"/>
      <c r="T95" s="5"/>
      <c r="U95" s="5"/>
      <c r="V95" s="5"/>
    </row>
    <row r="96" spans="1:22" ht="12.75" customHeight="1">
      <c r="A96" s="334"/>
      <c r="B96" s="310"/>
      <c r="C96" s="310"/>
      <c r="D96" s="335"/>
      <c r="E96" s="326"/>
      <c r="F96" s="326"/>
      <c r="G96" s="344"/>
      <c r="H96" s="332"/>
      <c r="I96" s="332"/>
      <c r="J96" s="332"/>
      <c r="K96" s="333"/>
      <c r="L96" s="5"/>
      <c r="M96" s="5"/>
      <c r="N96" s="5"/>
      <c r="O96" s="5"/>
      <c r="P96" s="5"/>
      <c r="Q96" s="5"/>
      <c r="R96" s="5"/>
      <c r="S96" s="5"/>
      <c r="T96" s="5"/>
      <c r="U96" s="5"/>
      <c r="V96" s="5"/>
    </row>
    <row r="97" spans="1:22" ht="12.75" customHeight="1">
      <c r="A97" s="334"/>
      <c r="B97" s="309"/>
      <c r="C97" s="310"/>
      <c r="D97" s="335"/>
      <c r="E97" s="326"/>
      <c r="F97" s="326"/>
      <c r="G97" s="342"/>
      <c r="H97" s="332"/>
      <c r="I97" s="332"/>
      <c r="J97" s="332"/>
      <c r="K97" s="333"/>
      <c r="L97" s="5"/>
      <c r="M97" s="5"/>
      <c r="N97" s="5"/>
      <c r="O97" s="5"/>
      <c r="P97" s="5"/>
      <c r="Q97" s="5"/>
      <c r="R97" s="5"/>
      <c r="S97" s="5"/>
      <c r="T97" s="5"/>
      <c r="U97" s="5"/>
      <c r="V97" s="5"/>
    </row>
    <row r="98" spans="1:22" ht="12.75" customHeight="1">
      <c r="A98" s="334"/>
      <c r="B98" s="309"/>
      <c r="C98" s="310"/>
      <c r="D98" s="335"/>
      <c r="E98" s="326"/>
      <c r="F98" s="326"/>
      <c r="G98" s="342"/>
      <c r="H98" s="332"/>
      <c r="I98" s="332"/>
      <c r="J98" s="332"/>
      <c r="K98" s="333"/>
      <c r="L98" s="5"/>
      <c r="M98" s="5"/>
      <c r="N98" s="5"/>
      <c r="O98" s="5"/>
      <c r="P98" s="5"/>
      <c r="Q98" s="5"/>
      <c r="R98" s="5"/>
      <c r="S98" s="5"/>
      <c r="T98" s="5"/>
      <c r="U98" s="5"/>
      <c r="V98" s="5"/>
    </row>
    <row r="99" spans="1:22" ht="12.75" customHeight="1">
      <c r="A99" s="711">
        <f>SUM(A73:A98)</f>
        <v>0</v>
      </c>
      <c r="B99" s="712" t="s">
        <v>215</v>
      </c>
      <c r="C99" s="713"/>
      <c r="D99" s="714">
        <f>SUM(D73:D98)</f>
        <v>0</v>
      </c>
      <c r="E99" s="444" t="s">
        <v>807</v>
      </c>
      <c r="F99" s="445"/>
      <c r="G99" s="784"/>
      <c r="H99" s="784"/>
      <c r="I99" s="497"/>
      <c r="J99" s="497"/>
      <c r="K99" s="781" t="s">
        <v>764</v>
      </c>
      <c r="L99" s="5"/>
      <c r="M99" s="5"/>
      <c r="N99" s="5"/>
      <c r="O99" s="5"/>
      <c r="P99" s="5"/>
      <c r="Q99" s="5"/>
      <c r="R99" s="5"/>
      <c r="S99" s="5"/>
      <c r="T99" s="5"/>
      <c r="U99" s="5"/>
      <c r="V99" s="5"/>
    </row>
    <row r="100" spans="1:22" ht="3" customHeight="1" thickBot="1">
      <c r="A100" s="345"/>
      <c r="B100" s="346"/>
      <c r="C100" s="347"/>
      <c r="D100" s="348"/>
      <c r="E100" s="349"/>
      <c r="F100" s="350"/>
      <c r="G100" s="322"/>
      <c r="H100" s="302"/>
      <c r="I100" s="351"/>
      <c r="J100" s="302"/>
      <c r="K100" s="351"/>
      <c r="L100" s="5"/>
      <c r="M100" s="5"/>
      <c r="N100" s="5"/>
      <c r="O100" s="5"/>
      <c r="P100" s="5"/>
      <c r="Q100" s="5"/>
      <c r="R100" s="5"/>
      <c r="S100" s="5"/>
      <c r="T100" s="5"/>
      <c r="U100" s="5"/>
      <c r="V100" s="5"/>
    </row>
    <row r="101" spans="1:22" ht="12.75" customHeight="1" thickBot="1">
      <c r="A101" s="715" t="s">
        <v>324</v>
      </c>
      <c r="B101" s="716" t="s">
        <v>325</v>
      </c>
      <c r="C101" s="717">
        <f>(SUM(C108:C137))+(SUM(C139:C176))+(SUM(C178:C182))*7</f>
        <v>0</v>
      </c>
      <c r="D101" s="718" t="str">
        <f>IF(F101&lt;0,"Troppi impiegati! TOGLINE:",IF(F101=0,"Tutti gli abitanti impiegati!",IF(F101&gt;0,"Altri abitanti impiegabili:")))</f>
        <v>Tutti gli abitanti impiegati!</v>
      </c>
      <c r="E101" s="719"/>
      <c r="F101" s="720">
        <f>D25-C101</f>
        <v>0</v>
      </c>
      <c r="G101" s="785" t="s">
        <v>805</v>
      </c>
      <c r="H101" s="786"/>
      <c r="I101" s="352" t="s">
        <v>422</v>
      </c>
      <c r="J101" s="353"/>
      <c r="K101" s="354"/>
      <c r="L101" s="5"/>
      <c r="M101" s="5"/>
      <c r="N101" s="5"/>
      <c r="O101" s="5"/>
      <c r="P101" s="5"/>
      <c r="Q101" s="5"/>
      <c r="R101" s="5"/>
      <c r="S101" s="5"/>
      <c r="T101" s="5"/>
      <c r="U101" s="5"/>
      <c r="V101" s="5"/>
    </row>
    <row r="102" spans="1:22" ht="12.75" customHeight="1">
      <c r="A102" s="721" t="s">
        <v>61</v>
      </c>
      <c r="B102" s="722" t="s">
        <v>55</v>
      </c>
      <c r="C102" s="562" t="s">
        <v>54</v>
      </c>
      <c r="D102" s="728" t="s">
        <v>481</v>
      </c>
      <c r="E102" s="729" t="s">
        <v>56</v>
      </c>
      <c r="F102" s="562" t="s">
        <v>73</v>
      </c>
      <c r="G102" s="653"/>
      <c r="H102" s="730" t="s">
        <v>482</v>
      </c>
      <c r="I102" s="342" t="s">
        <v>655</v>
      </c>
      <c r="J102" s="332"/>
      <c r="K102" s="333"/>
      <c r="L102" s="5"/>
      <c r="M102" s="5"/>
      <c r="N102" s="5"/>
      <c r="O102" s="5"/>
      <c r="P102" s="5"/>
      <c r="Q102" s="5"/>
      <c r="R102" s="5"/>
      <c r="S102" s="5"/>
      <c r="T102" s="5"/>
      <c r="U102" s="5"/>
      <c r="V102" s="5"/>
    </row>
    <row r="103" spans="1:22" ht="12.75" customHeight="1">
      <c r="A103" s="721"/>
      <c r="B103" s="723" t="s">
        <v>158</v>
      </c>
      <c r="C103" s="355">
        <v>1</v>
      </c>
      <c r="D103" s="355">
        <v>2</v>
      </c>
      <c r="E103" s="356">
        <f>A12</f>
        <v>0</v>
      </c>
      <c r="F103" s="309" t="s">
        <v>365</v>
      </c>
      <c r="G103" s="731"/>
      <c r="H103" s="732">
        <f>C103*D103*E103/12*K1</f>
        <v>0</v>
      </c>
      <c r="I103" s="342"/>
      <c r="J103" s="332"/>
      <c r="K103" s="333"/>
      <c r="L103" s="5"/>
      <c r="M103" s="5"/>
      <c r="N103" s="5"/>
      <c r="O103" s="5"/>
      <c r="P103" s="5"/>
      <c r="Q103" s="5"/>
      <c r="R103" s="5"/>
      <c r="S103" s="5"/>
      <c r="T103" s="5"/>
      <c r="U103" s="5"/>
      <c r="V103" s="5"/>
    </row>
    <row r="104" spans="1:22" ht="12.75" customHeight="1">
      <c r="A104" s="499"/>
      <c r="B104" s="723" t="s">
        <v>156</v>
      </c>
      <c r="C104" s="355">
        <v>2</v>
      </c>
      <c r="D104" s="355">
        <v>1</v>
      </c>
      <c r="E104" s="356">
        <f>A12</f>
        <v>0</v>
      </c>
      <c r="F104" s="309" t="s">
        <v>365</v>
      </c>
      <c r="G104" s="722"/>
      <c r="H104" s="732">
        <f>C104*D104*E104/12*K1</f>
        <v>0</v>
      </c>
      <c r="I104" s="342" t="s">
        <v>656</v>
      </c>
      <c r="J104" s="332"/>
      <c r="K104" s="333"/>
      <c r="L104" s="5"/>
      <c r="M104" s="5"/>
      <c r="N104" s="5"/>
      <c r="O104" s="5"/>
      <c r="P104" s="5"/>
      <c r="Q104" s="5"/>
      <c r="R104" s="5"/>
      <c r="S104" s="5"/>
      <c r="T104" s="5"/>
      <c r="U104" s="5"/>
      <c r="V104" s="5"/>
    </row>
    <row r="105" spans="1:22" ht="12.75" customHeight="1">
      <c r="A105" s="499"/>
      <c r="B105" s="723" t="s">
        <v>157</v>
      </c>
      <c r="C105" s="355">
        <v>1</v>
      </c>
      <c r="D105" s="742">
        <f>IF(I206=1,0,(IF(I206&gt;11,2,IF(I206&lt;12,1))))</f>
        <v>0</v>
      </c>
      <c r="E105" s="356">
        <f>A12</f>
        <v>0</v>
      </c>
      <c r="F105" s="309" t="s">
        <v>365</v>
      </c>
      <c r="G105" s="722"/>
      <c r="H105" s="732">
        <f>C105*D105*E105/12*K1</f>
        <v>0</v>
      </c>
      <c r="I105" s="342"/>
      <c r="J105" s="332"/>
      <c r="K105" s="333"/>
      <c r="L105" s="5"/>
      <c r="M105" s="5"/>
      <c r="N105" s="5"/>
      <c r="O105" s="5"/>
      <c r="P105" s="5"/>
      <c r="Q105" s="5"/>
      <c r="R105" s="5"/>
      <c r="S105" s="5"/>
      <c r="T105" s="5"/>
      <c r="U105" s="5"/>
      <c r="V105" s="5"/>
    </row>
    <row r="106" spans="1:22" ht="12.75" customHeight="1">
      <c r="A106" s="499"/>
      <c r="B106" s="723" t="s">
        <v>218</v>
      </c>
      <c r="C106" s="355">
        <v>0</v>
      </c>
      <c r="D106" s="743">
        <f>IF(I206=1,0,(IF(I206&gt;11,2,IF(I206&lt;12,1))))</f>
        <v>0</v>
      </c>
      <c r="E106" s="357">
        <f>A12</f>
        <v>0</v>
      </c>
      <c r="F106" s="309" t="s">
        <v>365</v>
      </c>
      <c r="G106" s="731"/>
      <c r="H106" s="732">
        <f>C106*D106*E106/12*K1</f>
        <v>0</v>
      </c>
      <c r="I106" s="342" t="s">
        <v>657</v>
      </c>
      <c r="J106" s="332"/>
      <c r="K106" s="333"/>
      <c r="L106" s="5"/>
      <c r="M106" s="5"/>
      <c r="N106" s="5"/>
      <c r="O106" s="5"/>
      <c r="P106" s="5"/>
      <c r="Q106" s="5"/>
      <c r="R106" s="5"/>
      <c r="S106" s="5"/>
      <c r="T106" s="5"/>
      <c r="U106" s="5"/>
      <c r="V106" s="5"/>
    </row>
    <row r="107" spans="1:22" ht="12.75" customHeight="1">
      <c r="A107" s="721" t="s">
        <v>70</v>
      </c>
      <c r="B107" s="562" t="s">
        <v>352</v>
      </c>
      <c r="C107" s="738" t="s">
        <v>54</v>
      </c>
      <c r="D107" s="739" t="s">
        <v>480</v>
      </c>
      <c r="E107" s="562" t="s">
        <v>351</v>
      </c>
      <c r="F107" s="358"/>
      <c r="G107" s="562" t="s">
        <v>353</v>
      </c>
      <c r="H107" s="732"/>
      <c r="I107" s="342"/>
      <c r="J107" s="332"/>
      <c r="K107" s="333"/>
      <c r="L107" s="5"/>
      <c r="M107" s="5"/>
      <c r="N107" s="5"/>
      <c r="O107" s="5"/>
      <c r="P107" s="5"/>
      <c r="Q107" s="5"/>
      <c r="R107" s="5"/>
      <c r="S107" s="5"/>
      <c r="T107" s="5"/>
      <c r="U107" s="5"/>
      <c r="V107" s="5"/>
    </row>
    <row r="108" spans="1:22" ht="12.75" customHeight="1">
      <c r="A108" s="724" t="s">
        <v>286</v>
      </c>
      <c r="B108" s="556" t="s">
        <v>69</v>
      </c>
      <c r="C108" s="740">
        <f>IF(H206&gt;11,1,IF(H206&lt;12,0,))</f>
        <v>0</v>
      </c>
      <c r="D108" s="741">
        <v>500</v>
      </c>
      <c r="E108" s="556" t="s">
        <v>433</v>
      </c>
      <c r="F108" s="360"/>
      <c r="G108" s="556"/>
      <c r="H108" s="732">
        <f>C108*D108*K1</f>
        <v>0</v>
      </c>
      <c r="I108" s="336" t="s">
        <v>658</v>
      </c>
      <c r="J108" s="332"/>
      <c r="K108" s="333"/>
      <c r="L108" s="5"/>
      <c r="M108" s="5"/>
      <c r="N108" s="5"/>
      <c r="O108" s="5"/>
      <c r="P108" s="5"/>
      <c r="Q108" s="5"/>
      <c r="R108" s="5"/>
      <c r="S108" s="5"/>
      <c r="T108" s="5"/>
      <c r="U108" s="5"/>
      <c r="V108" s="5"/>
    </row>
    <row r="109" spans="1:22" ht="12.75" customHeight="1">
      <c r="A109" s="724" t="s">
        <v>286</v>
      </c>
      <c r="B109" s="556" t="s">
        <v>68</v>
      </c>
      <c r="C109" s="740">
        <f>IF(H206&gt;15,1,IF(H206&lt;16,0,))</f>
        <v>0</v>
      </c>
      <c r="D109" s="741">
        <v>1000</v>
      </c>
      <c r="E109" s="305"/>
      <c r="F109" s="361"/>
      <c r="G109" s="733"/>
      <c r="H109" s="732">
        <f>C109*D109*K1</f>
        <v>0</v>
      </c>
      <c r="I109" s="336"/>
      <c r="J109" s="332"/>
      <c r="K109" s="333"/>
      <c r="L109" s="5"/>
      <c r="M109" s="5"/>
      <c r="N109" s="5"/>
      <c r="O109" s="5"/>
      <c r="P109" s="5"/>
      <c r="Q109" s="5"/>
      <c r="R109" s="5"/>
      <c r="S109" s="5"/>
      <c r="T109" s="5"/>
      <c r="U109" s="5"/>
      <c r="V109" s="5"/>
    </row>
    <row r="110" spans="1:22" ht="12.75" customHeight="1">
      <c r="A110" s="724" t="s">
        <v>287</v>
      </c>
      <c r="B110" s="440" t="s">
        <v>71</v>
      </c>
      <c r="C110" s="744">
        <f>IF(H206&gt;7,1,IF(H206&lt;8,0,))</f>
        <v>0</v>
      </c>
      <c r="D110" s="741">
        <v>500</v>
      </c>
      <c r="E110" s="332"/>
      <c r="F110" s="363"/>
      <c r="G110" s="734"/>
      <c r="H110" s="565">
        <f>C110*D110*K1</f>
        <v>0</v>
      </c>
      <c r="I110" s="336" t="s">
        <v>659</v>
      </c>
      <c r="J110" s="332"/>
      <c r="K110" s="333"/>
      <c r="L110" s="5"/>
      <c r="M110" s="5"/>
      <c r="N110" s="5"/>
      <c r="O110" s="5"/>
      <c r="P110" s="5"/>
      <c r="Q110" s="5"/>
      <c r="R110" s="5"/>
      <c r="S110" s="5"/>
      <c r="T110" s="5"/>
      <c r="U110" s="5"/>
      <c r="V110" s="5"/>
    </row>
    <row r="111" spans="1:22" ht="12.75" customHeight="1">
      <c r="A111" s="724" t="s">
        <v>287</v>
      </c>
      <c r="B111" s="440" t="s">
        <v>450</v>
      </c>
      <c r="C111" s="744">
        <f>CEILING(IF(A12&gt;0,A12/2500),1)</f>
        <v>0</v>
      </c>
      <c r="D111" s="745">
        <v>20</v>
      </c>
      <c r="E111" s="746" t="s">
        <v>366</v>
      </c>
      <c r="F111" s="364"/>
      <c r="G111" s="735"/>
      <c r="H111" s="565">
        <f>C111*D111*K1</f>
        <v>0</v>
      </c>
      <c r="I111" s="336"/>
      <c r="J111" s="332"/>
      <c r="K111" s="333"/>
      <c r="L111" s="5"/>
      <c r="M111" s="5"/>
      <c r="N111" s="5"/>
      <c r="O111" s="5"/>
      <c r="P111" s="5"/>
      <c r="Q111" s="5"/>
      <c r="R111" s="5"/>
      <c r="S111" s="5"/>
      <c r="T111" s="5"/>
      <c r="U111" s="5"/>
      <c r="V111" s="5"/>
    </row>
    <row r="112" spans="1:22" ht="12.75" customHeight="1">
      <c r="A112" s="724" t="s">
        <v>623</v>
      </c>
      <c r="B112" s="439" t="s">
        <v>645</v>
      </c>
      <c r="C112" s="365"/>
      <c r="D112" s="366">
        <v>3000</v>
      </c>
      <c r="E112" s="367" t="s">
        <v>736</v>
      </c>
      <c r="F112" s="363"/>
      <c r="G112" s="734" t="s">
        <v>349</v>
      </c>
      <c r="H112" s="565">
        <f>C112*D112*K1</f>
        <v>0</v>
      </c>
      <c r="I112" s="342" t="s">
        <v>660</v>
      </c>
      <c r="J112" s="332"/>
      <c r="K112" s="333"/>
      <c r="L112" s="5"/>
      <c r="M112" s="5"/>
      <c r="N112" s="5"/>
      <c r="O112" s="5"/>
      <c r="P112" s="5"/>
      <c r="Q112" s="5"/>
      <c r="R112" s="5"/>
      <c r="S112" s="5"/>
      <c r="T112" s="5"/>
      <c r="U112" s="5"/>
      <c r="V112" s="5"/>
    </row>
    <row r="113" spans="1:22" ht="12.75" customHeight="1">
      <c r="A113" s="724" t="s">
        <v>290</v>
      </c>
      <c r="B113" s="440" t="s">
        <v>65</v>
      </c>
      <c r="C113" s="744">
        <f>IF(H206&gt;11,1,IF(H206&lt;12,0,))</f>
        <v>0</v>
      </c>
      <c r="D113" s="741">
        <v>1000</v>
      </c>
      <c r="E113" s="368"/>
      <c r="F113" s="361"/>
      <c r="G113" s="734"/>
      <c r="H113" s="565">
        <f>C113*D113*K1</f>
        <v>0</v>
      </c>
      <c r="I113" s="342"/>
      <c r="J113" s="332"/>
      <c r="K113" s="333"/>
      <c r="L113" s="5"/>
      <c r="M113" s="5"/>
      <c r="N113" s="5"/>
      <c r="O113" s="5"/>
      <c r="P113" s="5"/>
      <c r="Q113" s="5"/>
      <c r="R113" s="5"/>
      <c r="S113" s="5"/>
      <c r="T113" s="5"/>
      <c r="U113" s="5"/>
      <c r="V113" s="5"/>
    </row>
    <row r="114" spans="1:22" ht="12.75" customHeight="1">
      <c r="A114" s="724" t="s">
        <v>293</v>
      </c>
      <c r="B114" s="440" t="s">
        <v>451</v>
      </c>
      <c r="C114" s="740">
        <f>IF(H206&gt;7,1,IF(H206&lt;8,0,))</f>
        <v>0</v>
      </c>
      <c r="D114" s="741">
        <f>(IF(H206&lt;12,300,IF(H206&lt;16,400,IF(H206&gt;15,500))))</f>
        <v>300</v>
      </c>
      <c r="E114" s="362"/>
      <c r="F114" s="361"/>
      <c r="G114" s="733"/>
      <c r="H114" s="565">
        <f>C114*D114*K1</f>
        <v>0</v>
      </c>
      <c r="I114" s="342" t="s">
        <v>661</v>
      </c>
      <c r="J114" s="332"/>
      <c r="K114" s="333"/>
      <c r="L114" s="5"/>
      <c r="M114" s="5"/>
      <c r="N114" s="5"/>
      <c r="O114" s="5"/>
      <c r="P114" s="5"/>
      <c r="Q114" s="5"/>
      <c r="R114" s="5"/>
      <c r="S114" s="5"/>
      <c r="T114" s="5"/>
      <c r="U114" s="5"/>
      <c r="V114" s="5"/>
    </row>
    <row r="115" spans="1:22" ht="12.75" customHeight="1">
      <c r="A115" s="724" t="s">
        <v>287</v>
      </c>
      <c r="B115" s="440" t="s">
        <v>452</v>
      </c>
      <c r="C115" s="744">
        <f>IF(H206&gt;7,1,IF(H206&lt;8,0,))</f>
        <v>0</v>
      </c>
      <c r="D115" s="741">
        <v>20</v>
      </c>
      <c r="E115" s="302"/>
      <c r="F115" s="361"/>
      <c r="G115" s="734"/>
      <c r="H115" s="565">
        <f>C115*D115*K1</f>
        <v>0</v>
      </c>
      <c r="I115" s="342"/>
      <c r="J115" s="332"/>
      <c r="K115" s="333"/>
      <c r="L115" s="5"/>
      <c r="M115" s="5"/>
      <c r="N115" s="5"/>
      <c r="O115" s="5"/>
      <c r="P115" s="5"/>
      <c r="Q115" s="5"/>
      <c r="R115" s="5"/>
      <c r="S115" s="5"/>
      <c r="T115" s="5"/>
      <c r="U115" s="5"/>
      <c r="V115" s="5"/>
    </row>
    <row r="116" spans="1:22" ht="12.75" customHeight="1">
      <c r="A116" s="725" t="s">
        <v>627</v>
      </c>
      <c r="B116" s="726" t="s">
        <v>296</v>
      </c>
      <c r="C116" s="369"/>
      <c r="D116" s="741">
        <v>400</v>
      </c>
      <c r="E116" s="367" t="s">
        <v>735</v>
      </c>
      <c r="F116" s="363" t="s">
        <v>74</v>
      </c>
      <c r="G116" s="650"/>
      <c r="H116" s="565">
        <f>C116*D116*K1</f>
        <v>0</v>
      </c>
      <c r="I116" s="370" t="s">
        <v>653</v>
      </c>
      <c r="J116" s="332"/>
      <c r="K116" s="333"/>
      <c r="L116" s="5"/>
      <c r="M116" s="5"/>
      <c r="N116" s="5"/>
      <c r="O116" s="5"/>
      <c r="P116" s="5"/>
      <c r="Q116" s="5"/>
      <c r="R116" s="5"/>
      <c r="S116" s="5"/>
      <c r="T116" s="5"/>
      <c r="U116" s="5"/>
      <c r="V116" s="5"/>
    </row>
    <row r="117" spans="1:22" ht="12.75" customHeight="1">
      <c r="A117" s="727" t="s">
        <v>447</v>
      </c>
      <c r="B117" s="726" t="s">
        <v>453</v>
      </c>
      <c r="C117" s="369"/>
      <c r="D117" s="741">
        <v>400</v>
      </c>
      <c r="E117" s="367" t="s">
        <v>735</v>
      </c>
      <c r="F117" s="363" t="s">
        <v>74</v>
      </c>
      <c r="G117" s="736" t="s">
        <v>448</v>
      </c>
      <c r="H117" s="565">
        <f>C117*D117*K1</f>
        <v>0</v>
      </c>
      <c r="I117" s="336"/>
      <c r="J117" s="332"/>
      <c r="K117" s="333"/>
      <c r="L117" s="5"/>
      <c r="M117" s="5"/>
      <c r="N117" s="5"/>
      <c r="O117" s="5"/>
      <c r="P117" s="5"/>
      <c r="Q117" s="5"/>
      <c r="R117" s="5"/>
      <c r="S117" s="5"/>
      <c r="T117" s="5"/>
      <c r="U117" s="5"/>
      <c r="V117" s="5"/>
    </row>
    <row r="118" spans="1:22" ht="12.75" customHeight="1">
      <c r="A118" s="727" t="s">
        <v>447</v>
      </c>
      <c r="B118" s="726" t="s">
        <v>454</v>
      </c>
      <c r="C118" s="365"/>
      <c r="D118" s="745">
        <v>200</v>
      </c>
      <c r="E118" s="367" t="s">
        <v>735</v>
      </c>
      <c r="F118" s="363" t="s">
        <v>74</v>
      </c>
      <c r="G118" s="736" t="s">
        <v>448</v>
      </c>
      <c r="H118" s="565">
        <f>C118*D118*K1</f>
        <v>0</v>
      </c>
      <c r="I118" s="344" t="s">
        <v>654</v>
      </c>
      <c r="J118" s="332"/>
      <c r="K118" s="333"/>
      <c r="L118" s="5"/>
      <c r="M118" s="5"/>
      <c r="N118" s="5"/>
      <c r="O118" s="5"/>
      <c r="P118" s="5"/>
      <c r="Q118" s="5"/>
      <c r="R118" s="5"/>
      <c r="S118" s="5"/>
      <c r="T118" s="5"/>
      <c r="U118" s="5"/>
      <c r="V118" s="5"/>
    </row>
    <row r="119" spans="1:22" ht="12.75" customHeight="1">
      <c r="A119" s="727" t="s">
        <v>646</v>
      </c>
      <c r="B119" s="439" t="s">
        <v>455</v>
      </c>
      <c r="C119" s="365"/>
      <c r="D119" s="745">
        <v>85</v>
      </c>
      <c r="E119" s="367" t="s">
        <v>735</v>
      </c>
      <c r="F119" s="363" t="s">
        <v>74</v>
      </c>
      <c r="G119" s="734"/>
      <c r="H119" s="565">
        <f>C119*D119*K1</f>
        <v>0</v>
      </c>
      <c r="I119" s="342"/>
      <c r="J119" s="332"/>
      <c r="K119" s="333"/>
      <c r="L119" s="5"/>
      <c r="M119" s="5"/>
      <c r="N119" s="5"/>
      <c r="O119" s="5"/>
      <c r="P119" s="5"/>
      <c r="Q119" s="5"/>
      <c r="R119" s="5"/>
      <c r="S119" s="5"/>
      <c r="T119" s="5"/>
      <c r="U119" s="5"/>
      <c r="V119" s="5"/>
    </row>
    <row r="120" spans="1:22" ht="12.75" customHeight="1">
      <c r="A120" s="724" t="s">
        <v>286</v>
      </c>
      <c r="B120" s="439" t="s">
        <v>456</v>
      </c>
      <c r="C120" s="747">
        <f>(SUM(C116:C119))*10</f>
        <v>0</v>
      </c>
      <c r="D120" s="741">
        <v>20</v>
      </c>
      <c r="E120" s="749" t="s">
        <v>449</v>
      </c>
      <c r="F120" s="750"/>
      <c r="G120" s="735"/>
      <c r="H120" s="565">
        <f>C120*D120*K1</f>
        <v>0</v>
      </c>
      <c r="I120" s="344" t="s">
        <v>711</v>
      </c>
      <c r="J120" s="332"/>
      <c r="K120" s="333"/>
      <c r="L120" s="5"/>
      <c r="M120" s="5"/>
      <c r="N120" s="5"/>
      <c r="O120" s="5"/>
      <c r="P120" s="5"/>
      <c r="Q120" s="5"/>
      <c r="R120" s="5"/>
      <c r="S120" s="5"/>
      <c r="T120" s="5"/>
      <c r="U120" s="5"/>
      <c r="V120" s="5"/>
    </row>
    <row r="121" spans="1:22" ht="12.75" customHeight="1">
      <c r="A121" s="724" t="s">
        <v>626</v>
      </c>
      <c r="B121" s="440" t="s">
        <v>66</v>
      </c>
      <c r="C121" s="369"/>
      <c r="D121" s="371">
        <v>900</v>
      </c>
      <c r="E121" s="372" t="s">
        <v>664</v>
      </c>
      <c r="F121" s="373"/>
      <c r="G121" s="734" t="s">
        <v>622</v>
      </c>
      <c r="H121" s="565">
        <f>C121*D121*K1</f>
        <v>0</v>
      </c>
      <c r="I121" s="342"/>
      <c r="J121" s="332"/>
      <c r="K121" s="333"/>
      <c r="L121" s="5"/>
      <c r="M121" s="5"/>
      <c r="N121" s="5"/>
      <c r="O121" s="5"/>
      <c r="P121" s="5"/>
      <c r="Q121" s="5"/>
      <c r="R121" s="5"/>
      <c r="S121" s="5"/>
      <c r="T121" s="5"/>
      <c r="U121" s="5"/>
      <c r="V121" s="5"/>
    </row>
    <row r="122" spans="1:22" ht="12.75" customHeight="1">
      <c r="A122" s="724" t="s">
        <v>625</v>
      </c>
      <c r="B122" s="439" t="s">
        <v>457</v>
      </c>
      <c r="C122" s="745">
        <f>IF(A12&lt;2000,0,IF(H206&gt;1,FLOOR((C123/25),1)-C121))+IF(AND(H206&gt;7,C123&lt;25),1-C121)</f>
        <v>0</v>
      </c>
      <c r="D122" s="366">
        <v>500</v>
      </c>
      <c r="E122" s="372" t="s">
        <v>665</v>
      </c>
      <c r="F122" s="363" t="s">
        <v>74</v>
      </c>
      <c r="G122" s="734" t="s">
        <v>624</v>
      </c>
      <c r="H122" s="565">
        <f>C122*D122*K1</f>
        <v>0</v>
      </c>
      <c r="I122" s="342"/>
      <c r="J122" s="332"/>
      <c r="K122" s="333"/>
      <c r="L122" s="5"/>
      <c r="M122" s="5"/>
      <c r="N122" s="5"/>
      <c r="O122" s="5"/>
      <c r="P122" s="5"/>
      <c r="Q122" s="5"/>
      <c r="R122" s="5"/>
      <c r="S122" s="5"/>
      <c r="T122" s="5"/>
      <c r="U122" s="5"/>
      <c r="V122" s="5"/>
    </row>
    <row r="123" spans="1:22" ht="12.75" customHeight="1">
      <c r="A123" s="724" t="s">
        <v>292</v>
      </c>
      <c r="B123" s="440" t="s">
        <v>458</v>
      </c>
      <c r="C123" s="744">
        <f>CEILING((A12/250),1)</f>
        <v>0</v>
      </c>
      <c r="D123" s="741">
        <v>20</v>
      </c>
      <c r="E123" s="561" t="s">
        <v>350</v>
      </c>
      <c r="F123" s="361"/>
      <c r="G123" s="561"/>
      <c r="H123" s="565">
        <f>C123*D123*K1</f>
        <v>0</v>
      </c>
      <c r="I123" s="342"/>
      <c r="J123" s="332"/>
      <c r="K123" s="333"/>
      <c r="L123" s="5"/>
      <c r="M123" s="5"/>
      <c r="N123" s="5"/>
      <c r="O123" s="5"/>
      <c r="P123" s="5"/>
      <c r="Q123" s="5"/>
      <c r="R123" s="5"/>
      <c r="S123" s="5"/>
      <c r="T123" s="5"/>
      <c r="U123" s="5"/>
      <c r="V123" s="5"/>
    </row>
    <row r="124" spans="1:22" ht="12.75" customHeight="1">
      <c r="A124" s="724" t="s">
        <v>287</v>
      </c>
      <c r="B124" s="440" t="s">
        <v>67</v>
      </c>
      <c r="C124" s="748">
        <f>IF(H75&lt;250001,0,+(IF(H75&gt;250000,(IF(H206&gt;15,1,IF(H206&lt;16,0,))))))</f>
        <v>0</v>
      </c>
      <c r="D124" s="741">
        <v>2000</v>
      </c>
      <c r="E124" s="367" t="s">
        <v>735</v>
      </c>
      <c r="F124" s="363" t="s">
        <v>74</v>
      </c>
      <c r="G124" s="734"/>
      <c r="H124" s="565">
        <f>C124*D124*K1</f>
        <v>0</v>
      </c>
      <c r="I124" s="336"/>
      <c r="J124" s="332"/>
      <c r="K124" s="333"/>
      <c r="L124" s="5"/>
      <c r="M124" s="5"/>
      <c r="N124" s="5"/>
      <c r="O124" s="5"/>
      <c r="P124" s="5"/>
      <c r="Q124" s="5"/>
      <c r="R124" s="5"/>
      <c r="S124" s="5"/>
      <c r="T124" s="5"/>
      <c r="U124" s="5"/>
      <c r="V124" s="5"/>
    </row>
    <row r="125" spans="1:22" ht="12.75" customHeight="1">
      <c r="A125" s="724" t="s">
        <v>294</v>
      </c>
      <c r="B125" s="561" t="s">
        <v>64</v>
      </c>
      <c r="C125" s="374"/>
      <c r="D125" s="366">
        <v>4000</v>
      </c>
      <c r="E125" s="372" t="s">
        <v>347</v>
      </c>
      <c r="F125" s="363" t="s">
        <v>74</v>
      </c>
      <c r="G125" s="734" t="s">
        <v>354</v>
      </c>
      <c r="H125" s="565">
        <f>C125*D125*K1</f>
        <v>0</v>
      </c>
      <c r="I125" s="342"/>
      <c r="J125" s="332"/>
      <c r="K125" s="333"/>
      <c r="L125" s="5"/>
      <c r="M125" s="5"/>
      <c r="N125" s="5"/>
      <c r="O125" s="5"/>
      <c r="P125" s="5"/>
      <c r="Q125" s="5"/>
      <c r="R125" s="5"/>
      <c r="S125" s="5"/>
      <c r="T125" s="5"/>
      <c r="U125" s="5"/>
      <c r="V125" s="5"/>
    </row>
    <row r="126" spans="1:22" ht="12.75" customHeight="1">
      <c r="A126" s="724" t="s">
        <v>287</v>
      </c>
      <c r="B126" s="440" t="s">
        <v>459</v>
      </c>
      <c r="C126" s="369"/>
      <c r="D126" s="366">
        <v>1200</v>
      </c>
      <c r="E126" s="372" t="s">
        <v>348</v>
      </c>
      <c r="F126" s="363" t="s">
        <v>74</v>
      </c>
      <c r="G126" s="734" t="s">
        <v>663</v>
      </c>
      <c r="H126" s="565">
        <f>C126*D126*K1</f>
        <v>0</v>
      </c>
      <c r="I126" s="342"/>
      <c r="J126" s="332"/>
      <c r="K126" s="333"/>
      <c r="L126" s="5"/>
      <c r="M126" s="5"/>
      <c r="N126" s="5"/>
      <c r="O126" s="5"/>
      <c r="P126" s="5"/>
      <c r="Q126" s="5"/>
      <c r="R126" s="5"/>
      <c r="S126" s="5"/>
      <c r="T126" s="5"/>
      <c r="U126" s="5"/>
      <c r="V126" s="5"/>
    </row>
    <row r="127" spans="1:22" ht="12.75" customHeight="1">
      <c r="A127" s="724" t="s">
        <v>287</v>
      </c>
      <c r="B127" s="439" t="s">
        <v>460</v>
      </c>
      <c r="C127" s="365"/>
      <c r="D127" s="371">
        <v>750</v>
      </c>
      <c r="E127" s="372" t="s">
        <v>346</v>
      </c>
      <c r="F127" s="363" t="s">
        <v>74</v>
      </c>
      <c r="G127" s="734" t="s">
        <v>343</v>
      </c>
      <c r="H127" s="565">
        <f>C127*D127*K1</f>
        <v>0</v>
      </c>
      <c r="I127" s="342"/>
      <c r="J127" s="332"/>
      <c r="K127" s="333"/>
      <c r="L127" s="5"/>
      <c r="M127" s="5"/>
      <c r="N127" s="5"/>
      <c r="O127" s="5"/>
      <c r="P127" s="5"/>
      <c r="Q127" s="5"/>
      <c r="R127" s="5"/>
      <c r="S127" s="5"/>
      <c r="T127" s="5"/>
      <c r="U127" s="5"/>
      <c r="V127" s="5"/>
    </row>
    <row r="128" spans="1:22" ht="12.75" customHeight="1">
      <c r="A128" s="724" t="s">
        <v>289</v>
      </c>
      <c r="B128" s="439" t="s">
        <v>628</v>
      </c>
      <c r="C128" s="365"/>
      <c r="D128" s="371">
        <v>250</v>
      </c>
      <c r="E128" s="372" t="s">
        <v>345</v>
      </c>
      <c r="F128" s="363" t="s">
        <v>74</v>
      </c>
      <c r="G128" s="734" t="s">
        <v>344</v>
      </c>
      <c r="H128" s="565">
        <f>C128*D128*K1</f>
        <v>0</v>
      </c>
      <c r="I128" s="342"/>
      <c r="J128" s="332"/>
      <c r="K128" s="333"/>
      <c r="L128" s="5"/>
      <c r="M128" s="5"/>
      <c r="N128" s="5"/>
      <c r="O128" s="5"/>
      <c r="P128" s="5"/>
      <c r="Q128" s="5"/>
      <c r="R128" s="5"/>
      <c r="S128" s="5"/>
      <c r="T128" s="5"/>
      <c r="U128" s="5"/>
      <c r="V128" s="5"/>
    </row>
    <row r="129" spans="1:22" ht="12.75" customHeight="1">
      <c r="A129" s="724" t="s">
        <v>287</v>
      </c>
      <c r="B129" s="440" t="s">
        <v>461</v>
      </c>
      <c r="C129" s="369"/>
      <c r="D129" s="366">
        <v>4000</v>
      </c>
      <c r="E129" s="372" t="s">
        <v>347</v>
      </c>
      <c r="F129" s="363" t="s">
        <v>74</v>
      </c>
      <c r="G129" s="737" t="s">
        <v>354</v>
      </c>
      <c r="H129" s="565">
        <f>C129*D129*K1</f>
        <v>0</v>
      </c>
      <c r="I129" s="342"/>
      <c r="J129" s="332"/>
      <c r="K129" s="333"/>
      <c r="L129" s="5"/>
      <c r="M129" s="5"/>
      <c r="N129" s="5"/>
      <c r="O129" s="5"/>
      <c r="P129" s="5"/>
      <c r="Q129" s="5"/>
      <c r="R129" s="5"/>
      <c r="S129" s="5"/>
      <c r="T129" s="5"/>
      <c r="U129" s="5"/>
      <c r="V129" s="5"/>
    </row>
    <row r="130" spans="1:22" ht="12.75" customHeight="1">
      <c r="A130" s="724" t="s">
        <v>286</v>
      </c>
      <c r="B130" s="440" t="s">
        <v>483</v>
      </c>
      <c r="C130" s="740">
        <f>CEILING(((SUM(C139:C176)))/50,1)</f>
        <v>0</v>
      </c>
      <c r="D130" s="741">
        <v>100</v>
      </c>
      <c r="E130" s="553" t="s">
        <v>619</v>
      </c>
      <c r="F130" s="751"/>
      <c r="G130" s="553"/>
      <c r="H130" s="565">
        <f>C130*D130*K1</f>
        <v>0</v>
      </c>
      <c r="I130" s="342"/>
      <c r="J130" s="332"/>
      <c r="K130" s="333"/>
      <c r="L130" s="5"/>
      <c r="M130" s="5"/>
      <c r="N130" s="5"/>
      <c r="O130" s="5"/>
      <c r="P130" s="5"/>
      <c r="Q130" s="5"/>
      <c r="R130" s="5"/>
      <c r="S130" s="5"/>
      <c r="T130" s="5"/>
      <c r="U130" s="5"/>
      <c r="V130" s="5"/>
    </row>
    <row r="131" spans="1:22" ht="12.75" customHeight="1">
      <c r="A131" s="724" t="s">
        <v>291</v>
      </c>
      <c r="B131" s="561" t="s">
        <v>462</v>
      </c>
      <c r="C131" s="369"/>
      <c r="D131" s="741">
        <v>25</v>
      </c>
      <c r="E131" s="553" t="s">
        <v>620</v>
      </c>
      <c r="F131" s="751"/>
      <c r="G131" s="553"/>
      <c r="H131" s="565">
        <f>C131*D131*K1</f>
        <v>0</v>
      </c>
      <c r="I131" s="342"/>
      <c r="J131" s="332"/>
      <c r="K131" s="333"/>
      <c r="L131" s="5"/>
      <c r="M131" s="5"/>
      <c r="N131" s="5"/>
      <c r="O131" s="5"/>
      <c r="P131" s="5"/>
      <c r="Q131" s="5"/>
      <c r="R131" s="5"/>
      <c r="S131" s="5"/>
      <c r="T131" s="5"/>
      <c r="U131" s="5"/>
      <c r="V131" s="5"/>
    </row>
    <row r="132" spans="1:22" ht="12.75" customHeight="1">
      <c r="A132" s="724" t="s">
        <v>293</v>
      </c>
      <c r="B132" s="440" t="s">
        <v>463</v>
      </c>
      <c r="C132" s="369"/>
      <c r="D132" s="371">
        <v>60</v>
      </c>
      <c r="E132" s="372" t="s">
        <v>346</v>
      </c>
      <c r="F132" s="363" t="s">
        <v>74</v>
      </c>
      <c r="G132" s="734" t="s">
        <v>297</v>
      </c>
      <c r="H132" s="565">
        <f>C132*D132*K1</f>
        <v>0</v>
      </c>
      <c r="I132" s="342"/>
      <c r="J132" s="332"/>
      <c r="K132" s="333"/>
      <c r="L132" s="5"/>
      <c r="M132" s="5"/>
      <c r="N132" s="5"/>
      <c r="O132" s="5"/>
      <c r="P132" s="5"/>
      <c r="Q132" s="5"/>
      <c r="R132" s="5"/>
      <c r="S132" s="5"/>
      <c r="T132" s="5"/>
      <c r="U132" s="5"/>
      <c r="V132" s="5"/>
    </row>
    <row r="133" spans="1:22" ht="12.75" customHeight="1">
      <c r="A133" s="724" t="s">
        <v>287</v>
      </c>
      <c r="B133" s="440" t="s">
        <v>464</v>
      </c>
      <c r="C133" s="369"/>
      <c r="D133" s="371">
        <v>100</v>
      </c>
      <c r="E133" s="372" t="s">
        <v>348</v>
      </c>
      <c r="F133" s="363" t="s">
        <v>74</v>
      </c>
      <c r="G133" s="734" t="s">
        <v>298</v>
      </c>
      <c r="H133" s="565">
        <f>C133*D133*K1</f>
        <v>0</v>
      </c>
      <c r="I133" s="342"/>
      <c r="J133" s="332"/>
      <c r="K133" s="333"/>
      <c r="L133" s="5"/>
      <c r="M133" s="5"/>
      <c r="N133" s="5"/>
      <c r="O133" s="5"/>
      <c r="P133" s="5"/>
      <c r="Q133" s="5"/>
      <c r="R133" s="5"/>
      <c r="S133" s="5"/>
      <c r="T133" s="5"/>
      <c r="U133" s="5"/>
      <c r="V133" s="5"/>
    </row>
    <row r="134" spans="1:22" ht="12.75" customHeight="1">
      <c r="A134" s="724" t="s">
        <v>288</v>
      </c>
      <c r="B134" s="440" t="s">
        <v>465</v>
      </c>
      <c r="C134" s="744">
        <f>IF(H206&gt;11,1,IF(H206&lt;12,0,))</f>
        <v>0</v>
      </c>
      <c r="D134" s="366">
        <v>750</v>
      </c>
      <c r="E134" s="752" t="s">
        <v>285</v>
      </c>
      <c r="F134" s="753"/>
      <c r="G134" s="734"/>
      <c r="H134" s="565">
        <f>C134*D134*K1</f>
        <v>0</v>
      </c>
      <c r="I134" s="342"/>
      <c r="J134" s="332"/>
      <c r="K134" s="333"/>
      <c r="L134" s="5"/>
      <c r="M134" s="5"/>
      <c r="N134" s="5"/>
      <c r="O134" s="5"/>
      <c r="P134" s="5"/>
      <c r="Q134" s="5"/>
      <c r="R134" s="5"/>
      <c r="S134" s="5"/>
      <c r="T134" s="5"/>
      <c r="U134" s="5"/>
      <c r="V134" s="5"/>
    </row>
    <row r="135" spans="1:22" ht="12.75" customHeight="1">
      <c r="A135" s="724" t="s">
        <v>287</v>
      </c>
      <c r="B135" s="440" t="s">
        <v>466</v>
      </c>
      <c r="C135" s="748">
        <f>IF(C136&gt;1,1,IF(C136&lt;2,0))</f>
        <v>0</v>
      </c>
      <c r="D135" s="774">
        <v>2000</v>
      </c>
      <c r="E135" s="556" t="s">
        <v>472</v>
      </c>
      <c r="F135" s="750"/>
      <c r="G135" s="734"/>
      <c r="H135" s="565">
        <f>C135*D135*K1</f>
        <v>0</v>
      </c>
      <c r="I135" s="342"/>
      <c r="J135" s="332"/>
      <c r="K135" s="333"/>
      <c r="L135" s="5"/>
      <c r="M135" s="5"/>
      <c r="N135" s="5"/>
      <c r="O135" s="5"/>
      <c r="P135" s="5"/>
      <c r="Q135" s="5"/>
      <c r="R135" s="5"/>
      <c r="S135" s="5"/>
      <c r="T135" s="5"/>
      <c r="U135" s="5"/>
      <c r="V135" s="5"/>
    </row>
    <row r="136" spans="1:22" ht="12.75" customHeight="1">
      <c r="A136" s="724" t="s">
        <v>295</v>
      </c>
      <c r="B136" s="440" t="s">
        <v>467</v>
      </c>
      <c r="C136" s="744">
        <f>IF(A12&lt;5000,0,IF(A12&gt;4999,CEILING((A12/5000),1)-1))</f>
        <v>0</v>
      </c>
      <c r="D136" s="774">
        <v>200</v>
      </c>
      <c r="E136" s="749" t="s">
        <v>473</v>
      </c>
      <c r="F136" s="753"/>
      <c r="G136" s="734"/>
      <c r="H136" s="565">
        <f>C136*D136*K1</f>
        <v>0</v>
      </c>
      <c r="I136" s="342"/>
      <c r="J136" s="332"/>
      <c r="K136" s="333"/>
      <c r="L136" s="5"/>
      <c r="M136" s="5"/>
      <c r="N136" s="5"/>
      <c r="O136" s="5"/>
      <c r="P136" s="5"/>
      <c r="Q136" s="5"/>
      <c r="R136" s="5"/>
      <c r="S136" s="5"/>
      <c r="T136" s="5"/>
      <c r="U136" s="5"/>
      <c r="V136" s="5"/>
    </row>
    <row r="137" spans="1:22" ht="12.75" customHeight="1">
      <c r="A137" s="724" t="s">
        <v>293</v>
      </c>
      <c r="B137" s="440" t="s">
        <v>468</v>
      </c>
      <c r="C137" s="369"/>
      <c r="D137" s="371">
        <v>100</v>
      </c>
      <c r="E137" s="372" t="s">
        <v>348</v>
      </c>
      <c r="F137" s="363" t="s">
        <v>74</v>
      </c>
      <c r="G137" s="734" t="s">
        <v>298</v>
      </c>
      <c r="H137" s="565">
        <f>C137*D137*K1</f>
        <v>0</v>
      </c>
      <c r="I137" s="342"/>
      <c r="J137" s="332"/>
      <c r="K137" s="333"/>
      <c r="L137" s="5"/>
      <c r="M137" s="5"/>
      <c r="N137" s="5"/>
      <c r="O137" s="5"/>
      <c r="P137" s="5"/>
      <c r="Q137" s="5"/>
      <c r="R137" s="5"/>
      <c r="S137" s="5"/>
      <c r="T137" s="5"/>
      <c r="U137" s="5"/>
      <c r="V137" s="5"/>
    </row>
    <row r="138" spans="1:22" ht="12.75" customHeight="1" thickBot="1">
      <c r="A138" s="721" t="s">
        <v>62</v>
      </c>
      <c r="B138" s="487" t="s">
        <v>352</v>
      </c>
      <c r="C138" s="754" t="s">
        <v>690</v>
      </c>
      <c r="D138" s="566"/>
      <c r="E138" s="487" t="s">
        <v>96</v>
      </c>
      <c r="F138" s="495" t="s">
        <v>770</v>
      </c>
      <c r="G138" s="562" t="s">
        <v>98</v>
      </c>
      <c r="H138" s="732"/>
      <c r="I138" s="342"/>
      <c r="J138" s="332"/>
      <c r="K138" s="375"/>
      <c r="L138" s="5"/>
      <c r="M138" s="5"/>
      <c r="N138" s="5"/>
      <c r="O138" s="5"/>
      <c r="P138" s="5"/>
      <c r="Q138" s="5"/>
      <c r="R138" s="5"/>
      <c r="S138" s="5"/>
      <c r="T138" s="5"/>
      <c r="U138" s="5"/>
      <c r="V138" s="5"/>
    </row>
    <row r="139" spans="1:22" ht="12.75" customHeight="1">
      <c r="A139" s="376"/>
      <c r="B139" s="492" t="str">
        <f>VLOOKUP(B187,SETUP!$A$2:$C$85,2,TRUE)</f>
        <v>---</v>
      </c>
      <c r="C139" s="377"/>
      <c r="D139" s="378"/>
      <c r="E139" s="492" t="str">
        <f>VLOOKUP(E187,SETUP!$A$127:$C$146,2,TRUE)</f>
        <v>---</v>
      </c>
      <c r="F139" s="492" t="str">
        <f>VLOOKUP(G187,SETUP!$A$88:$C$124,2,TRUE)</f>
        <v>---</v>
      </c>
      <c r="G139" s="376"/>
      <c r="H139" s="564">
        <f>(VLOOKUP(B187,SETUP!$A$2:$C$85,3,TRUE)*(((VLOOKUP(E187,SETUP!$A$127:$C$146,3,TRUE)*(VLOOKUP(G187,SETUP!$A$88:$C$124,3,TRUE)))))*C139*(K1+(D139/4)))*(IF(K76="no",1,IF(K76="si",2)))</f>
        <v>0</v>
      </c>
      <c r="I139" s="379" t="s">
        <v>616</v>
      </c>
      <c r="J139" s="380" t="s">
        <v>425</v>
      </c>
      <c r="K139" s="381" t="s">
        <v>57</v>
      </c>
      <c r="L139" s="5"/>
      <c r="M139" s="5"/>
      <c r="N139" s="5"/>
      <c r="O139" s="5"/>
      <c r="P139" s="5"/>
      <c r="Q139" s="5"/>
      <c r="R139" s="5"/>
      <c r="S139" s="5"/>
      <c r="T139" s="5"/>
      <c r="U139" s="5"/>
      <c r="V139" s="5"/>
    </row>
    <row r="140" spans="1:22" ht="12.75" customHeight="1">
      <c r="A140" s="376"/>
      <c r="B140" s="492" t="str">
        <f>VLOOKUP(B188,SETUP!$A$2:$C$85,2,TRUE)</f>
        <v>---</v>
      </c>
      <c r="C140" s="377"/>
      <c r="D140" s="378"/>
      <c r="E140" s="492" t="str">
        <f>VLOOKUP(E188,SETUP!$A$127:$C$146,2,TRUE)</f>
        <v>---</v>
      </c>
      <c r="F140" s="492" t="str">
        <f>VLOOKUP(G188,SETUP!$A$88:$C$124,2,TRUE)</f>
        <v>---</v>
      </c>
      <c r="G140" s="376"/>
      <c r="H140" s="564">
        <f>(VLOOKUP(B188,SETUP!$A$2:$C$85,3,TRUE)*(((VLOOKUP(E188,SETUP!$A$127:$C$146,3,TRUE)*(VLOOKUP(G188,SETUP!$A$88:$C$124,3,TRUE)))))*C140*(K1+(D140/4)))*(IF(K76="no",1,IF(K76="si",2)))</f>
        <v>0</v>
      </c>
      <c r="I140" s="382" t="s">
        <v>424</v>
      </c>
      <c r="J140" s="383"/>
      <c r="K140" s="320"/>
      <c r="L140" s="5"/>
      <c r="M140" s="5"/>
      <c r="N140" s="5"/>
      <c r="O140" s="5"/>
      <c r="P140" s="5"/>
      <c r="Q140" s="5"/>
      <c r="R140" s="5"/>
      <c r="S140" s="5"/>
      <c r="T140" s="5"/>
      <c r="U140" s="5"/>
      <c r="V140" s="5"/>
    </row>
    <row r="141" spans="1:22" ht="12.75" customHeight="1">
      <c r="A141" s="376"/>
      <c r="B141" s="492" t="str">
        <f>VLOOKUP(B189,SETUP!$A$2:$C$85,2,TRUE)</f>
        <v>---</v>
      </c>
      <c r="C141" s="384"/>
      <c r="D141" s="378"/>
      <c r="E141" s="492" t="str">
        <f>VLOOKUP(E189,SETUP!$A$127:$C$146,2,TRUE)</f>
        <v>---</v>
      </c>
      <c r="F141" s="492" t="str">
        <f>VLOOKUP(G189,SETUP!$A$88:$C$124,2,TRUE)</f>
        <v>---</v>
      </c>
      <c r="G141" s="376"/>
      <c r="H141" s="779">
        <f>(VLOOKUP(B189,SETUP!$A$2:$C$85,3,TRUE)*(((VLOOKUP(E189,SETUP!$A$127:$C$146,3,TRUE)*(VLOOKUP(G189,SETUP!$A$88:$C$124,3,TRUE)))))*C141*(K1+(D141/4)))*(IF(K76="no",1,IF(K76="si",2)))</f>
        <v>0</v>
      </c>
      <c r="I141" s="385" t="s">
        <v>644</v>
      </c>
      <c r="J141" s="386"/>
      <c r="K141" s="387" t="s">
        <v>58</v>
      </c>
      <c r="L141" s="5"/>
      <c r="M141" s="5"/>
      <c r="N141" s="5"/>
      <c r="O141" s="5"/>
      <c r="P141" s="5"/>
      <c r="Q141" s="5"/>
      <c r="R141" s="5"/>
      <c r="S141" s="5"/>
      <c r="T141" s="5"/>
      <c r="U141" s="5"/>
      <c r="V141" s="5"/>
    </row>
    <row r="142" spans="1:22" ht="12.75" customHeight="1">
      <c r="A142" s="388"/>
      <c r="B142" s="492" t="str">
        <f>VLOOKUP(B190,SETUP!$A$2:$C$85,2,TRUE)</f>
        <v>---</v>
      </c>
      <c r="C142" s="384"/>
      <c r="D142" s="378"/>
      <c r="E142" s="492" t="str">
        <f>VLOOKUP(E190,SETUP!$A$127:$C$146,2,TRUE)</f>
        <v>---</v>
      </c>
      <c r="F142" s="492" t="str">
        <f>VLOOKUP(G190,SETUP!$A$88:$C$124,2,TRUE)</f>
        <v>---</v>
      </c>
      <c r="G142" s="326"/>
      <c r="H142" s="779">
        <f>(VLOOKUP(B190,SETUP!$A$2:$C$85,3,TRUE)*(((VLOOKUP(E190,SETUP!$A$127:$C$146,3,TRUE)*(VLOOKUP(G190,SETUP!$A$88:$C$124,3,TRUE)))))*C142*(K1+(D142/4)))*(IF(K76="no",1,IF(K76="si",2)))</f>
        <v>0</v>
      </c>
      <c r="I142" s="385" t="s">
        <v>426</v>
      </c>
      <c r="J142" s="386"/>
      <c r="K142" s="389"/>
      <c r="L142" s="5"/>
      <c r="M142" s="5"/>
      <c r="N142" s="5"/>
      <c r="O142" s="5"/>
      <c r="P142" s="5"/>
      <c r="Q142" s="5"/>
      <c r="R142" s="5"/>
      <c r="S142" s="5"/>
      <c r="T142" s="5"/>
      <c r="U142" s="5"/>
      <c r="V142" s="5"/>
    </row>
    <row r="143" spans="1:22" ht="12.75" customHeight="1">
      <c r="A143" s="390"/>
      <c r="B143" s="492" t="str">
        <f>VLOOKUP(B191,SETUP!$A$2:$C$85,2,TRUE)</f>
        <v>---</v>
      </c>
      <c r="C143" s="384"/>
      <c r="D143" s="378"/>
      <c r="E143" s="492" t="str">
        <f>VLOOKUP(E191,SETUP!$A$127:$C$146,2,TRUE)</f>
        <v>---</v>
      </c>
      <c r="F143" s="492" t="str">
        <f>VLOOKUP(G191,SETUP!$A$88:$C$124,2,TRUE)</f>
        <v>---</v>
      </c>
      <c r="G143" s="391"/>
      <c r="H143" s="779">
        <f>(VLOOKUP(B191,SETUP!$A$2:$C$85,3,TRUE)*(((VLOOKUP(E191,SETUP!$A$127:$C$146,3,TRUE)*(VLOOKUP(G191,SETUP!$A$88:$C$124,3,TRUE)))))*C143*(K1+(D143/4)))*(IF(K76="no",1,IF(K76="si",2)))</f>
        <v>0</v>
      </c>
      <c r="I143" s="392"/>
      <c r="J143" s="393"/>
      <c r="K143" s="320"/>
      <c r="L143" s="5"/>
      <c r="M143" s="5"/>
      <c r="N143" s="5"/>
      <c r="O143" s="5"/>
      <c r="P143" s="5"/>
      <c r="Q143" s="5"/>
      <c r="R143" s="5"/>
      <c r="S143" s="5"/>
      <c r="T143" s="5"/>
      <c r="U143" s="5"/>
      <c r="V143" s="5"/>
    </row>
    <row r="144" spans="1:22" ht="12.75" customHeight="1" thickBot="1">
      <c r="A144" s="394"/>
      <c r="B144" s="492" t="str">
        <f>VLOOKUP(B192,SETUP!$A$2:$C$85,2,TRUE)</f>
        <v>---</v>
      </c>
      <c r="C144" s="384"/>
      <c r="D144" s="378"/>
      <c r="E144" s="492" t="str">
        <f>VLOOKUP(E192,SETUP!$A$127:$C$146,2,TRUE)</f>
        <v>---</v>
      </c>
      <c r="F144" s="492" t="str">
        <f>VLOOKUP(G192,SETUP!$A$88:$C$124,2,TRUE)</f>
        <v>---</v>
      </c>
      <c r="G144" s="391"/>
      <c r="H144" s="779">
        <f>(VLOOKUP(B192,SETUP!$A$2:$C$85,3,TRUE)*(((VLOOKUP(E192,SETUP!$A$127:$C$146,3,TRUE)*(VLOOKUP(G192,SETUP!$A$88:$C$124,3,TRUE)))))*C144*(K1+(D144/4)))*(IF(K76="no",1,IF(K76="si",2)))</f>
        <v>0</v>
      </c>
      <c r="I144" s="395"/>
      <c r="J144" s="396"/>
      <c r="K144" s="397"/>
      <c r="L144" s="5"/>
      <c r="M144" s="5"/>
      <c r="N144" s="5"/>
      <c r="O144" s="5"/>
      <c r="P144" s="5"/>
      <c r="Q144" s="5"/>
      <c r="R144" s="5"/>
      <c r="S144" s="5"/>
      <c r="T144" s="5"/>
      <c r="U144" s="5"/>
      <c r="V144" s="5"/>
    </row>
    <row r="145" spans="1:22" ht="12.75" customHeight="1">
      <c r="A145" s="376"/>
      <c r="B145" s="492" t="str">
        <f>VLOOKUP(B193,SETUP!$A$2:$C$85,2,TRUE)</f>
        <v>---</v>
      </c>
      <c r="C145" s="384"/>
      <c r="D145" s="378"/>
      <c r="E145" s="492" t="str">
        <f>VLOOKUP(E193,SETUP!$A$127:$C$146,2,TRUE)</f>
        <v>---</v>
      </c>
      <c r="F145" s="492" t="str">
        <f>VLOOKUP(G193,SETUP!$A$88:$C$124,2,TRUE)</f>
        <v>---</v>
      </c>
      <c r="G145" s="398"/>
      <c r="H145" s="779">
        <f>(VLOOKUP(B193,SETUP!$A$2:$C$85,3,TRUE)*(((VLOOKUP(E193,SETUP!$A$127:$C$146,3,TRUE)*(VLOOKUP(G193,SETUP!$A$88:$C$124,3,TRUE)))))*C145*(K1+(D145/4)))*(IF(K76="no",1,IF(K76="si",2)))</f>
        <v>0</v>
      </c>
      <c r="I145" s="379" t="s">
        <v>616</v>
      </c>
      <c r="J145" s="380" t="s">
        <v>425</v>
      </c>
      <c r="K145" s="381" t="s">
        <v>57</v>
      </c>
      <c r="L145" s="5"/>
      <c r="M145" s="5"/>
      <c r="N145" s="5"/>
      <c r="O145" s="5"/>
      <c r="P145" s="5"/>
      <c r="Q145" s="5"/>
      <c r="R145" s="5"/>
      <c r="S145" s="5"/>
      <c r="T145" s="5"/>
      <c r="U145" s="5"/>
      <c r="V145" s="5"/>
    </row>
    <row r="146" spans="1:22" ht="12.75" customHeight="1">
      <c r="A146" s="376"/>
      <c r="B146" s="492" t="str">
        <f>VLOOKUP(B194,SETUP!$A$2:$C$85,2,TRUE)</f>
        <v>---</v>
      </c>
      <c r="C146" s="399"/>
      <c r="D146" s="378"/>
      <c r="E146" s="492" t="str">
        <f>VLOOKUP(E194,SETUP!$A$127:$C$146,2,TRUE)</f>
        <v>---</v>
      </c>
      <c r="F146" s="492" t="str">
        <f>VLOOKUP(G194,SETUP!$A$88:$C$124,2,TRUE)</f>
        <v>---</v>
      </c>
      <c r="G146" s="326"/>
      <c r="H146" s="779">
        <f>(VLOOKUP(B194,SETUP!$A$2:$C$85,3,TRUE)*(((VLOOKUP(E194,SETUP!$A$127:$C$146,3,TRUE)*(VLOOKUP(G194,SETUP!$A$88:$C$124,3,TRUE)))))*C146*(K1+(D146/4)))*(IF(K76="no",1,IF(K76="si",2)))</f>
        <v>0</v>
      </c>
      <c r="I146" s="382" t="s">
        <v>424</v>
      </c>
      <c r="J146" s="383"/>
      <c r="K146" s="400"/>
      <c r="L146" s="5"/>
      <c r="M146" s="5"/>
      <c r="N146" s="5"/>
      <c r="O146" s="5"/>
      <c r="P146" s="5"/>
      <c r="Q146" s="5"/>
      <c r="R146" s="5"/>
      <c r="S146" s="5"/>
      <c r="T146" s="5"/>
      <c r="U146" s="5"/>
      <c r="V146" s="5"/>
    </row>
    <row r="147" spans="1:22" ht="12.75" customHeight="1">
      <c r="A147" s="376"/>
      <c r="B147" s="492" t="str">
        <f>VLOOKUP(B195,SETUP!$A$2:$C$85,2,TRUE)</f>
        <v>---</v>
      </c>
      <c r="C147" s="384"/>
      <c r="D147" s="378"/>
      <c r="E147" s="492" t="str">
        <f>VLOOKUP(E195,SETUP!$A$127:$C$146,2,TRUE)</f>
        <v>---</v>
      </c>
      <c r="F147" s="492" t="str">
        <f>VLOOKUP(G195,SETUP!$A$88:$C$124,2,TRUE)</f>
        <v>---</v>
      </c>
      <c r="G147" s="326"/>
      <c r="H147" s="779">
        <f>(VLOOKUP(B195,SETUP!$A$2:$C$85,3,TRUE)*(((VLOOKUP(E195,SETUP!$A$127:$C$146,3,TRUE)*(VLOOKUP(G195,SETUP!$A$88:$C$124,3,TRUE)))))*C147*(K1+(D147/4)))*(IF(K76="no",1,IF(K76="si",2)))</f>
        <v>0</v>
      </c>
      <c r="I147" s="385" t="s">
        <v>644</v>
      </c>
      <c r="J147" s="393"/>
      <c r="K147" s="387" t="s">
        <v>58</v>
      </c>
      <c r="L147" s="5"/>
      <c r="M147" s="5"/>
      <c r="N147" s="5"/>
      <c r="O147" s="5"/>
      <c r="P147" s="5"/>
      <c r="Q147" s="5"/>
      <c r="R147" s="5"/>
      <c r="S147" s="5"/>
      <c r="T147" s="5"/>
      <c r="U147" s="5"/>
      <c r="V147" s="5"/>
    </row>
    <row r="148" spans="1:22" ht="12.75" customHeight="1">
      <c r="A148" s="359"/>
      <c r="B148" s="492" t="str">
        <f>VLOOKUP(B196,SETUP!$A$2:$C$85,2,TRUE)</f>
        <v>---</v>
      </c>
      <c r="C148" s="384"/>
      <c r="D148" s="378"/>
      <c r="E148" s="492" t="str">
        <f>VLOOKUP(E196,SETUP!$A$127:$C$146,2,TRUE)</f>
        <v>---</v>
      </c>
      <c r="F148" s="492" t="str">
        <f>VLOOKUP(G196,SETUP!$A$88:$C$124,2,TRUE)</f>
        <v>---</v>
      </c>
      <c r="G148" s="401"/>
      <c r="H148" s="779">
        <f>(VLOOKUP(B196,SETUP!$A$2:$C$85,3,TRUE)*(((VLOOKUP(E196,SETUP!$A$127:$C$146,3,TRUE)*(VLOOKUP(G196,SETUP!$A$88:$C$124,3,TRUE)))))*C148*(K1+(D148/4)))*(IF(K76="no",1,IF(K76="si",2)))</f>
        <v>0</v>
      </c>
      <c r="I148" s="385" t="s">
        <v>426</v>
      </c>
      <c r="J148" s="393"/>
      <c r="K148" s="402"/>
      <c r="L148" s="5"/>
      <c r="M148" s="5"/>
      <c r="N148" s="5"/>
      <c r="O148" s="5"/>
      <c r="P148" s="5"/>
      <c r="Q148" s="5"/>
      <c r="R148" s="5"/>
      <c r="S148" s="5"/>
      <c r="T148" s="5"/>
      <c r="U148" s="5"/>
      <c r="V148" s="5"/>
    </row>
    <row r="149" spans="1:22" ht="12.75" customHeight="1">
      <c r="A149" s="359"/>
      <c r="B149" s="492" t="str">
        <f>VLOOKUP(B197,SETUP!$A$2:$C$85,2,TRUE)</f>
        <v>---</v>
      </c>
      <c r="C149" s="384"/>
      <c r="D149" s="378"/>
      <c r="E149" s="492" t="str">
        <f>VLOOKUP(E197,SETUP!$A$127:$C$146,2,TRUE)</f>
        <v>---</v>
      </c>
      <c r="F149" s="492" t="str">
        <f>VLOOKUP(G197,SETUP!$A$88:$C$124,2,TRUE)</f>
        <v>---</v>
      </c>
      <c r="G149" s="401"/>
      <c r="H149" s="779">
        <f>(VLOOKUP(B197,SETUP!$A$2:$C$85,3,TRUE)*(((VLOOKUP(E197,SETUP!$A$127:$C$146,3,TRUE)*(VLOOKUP(G197,SETUP!$A$88:$C$124,3,TRUE)))))*C149*(K1+(D149/4)))*(IF(K76="no",1,IF(K76="si",2)))</f>
        <v>0</v>
      </c>
      <c r="I149" s="403"/>
      <c r="J149" s="393"/>
      <c r="K149" s="320"/>
      <c r="L149" s="5"/>
      <c r="M149" s="5"/>
      <c r="N149" s="5"/>
      <c r="O149" s="5"/>
      <c r="P149" s="5"/>
      <c r="Q149" s="5"/>
      <c r="R149" s="5"/>
      <c r="S149" s="5"/>
      <c r="T149" s="5"/>
      <c r="U149" s="5"/>
      <c r="V149" s="5"/>
    </row>
    <row r="150" spans="1:22" ht="12.75" customHeight="1" thickBot="1">
      <c r="A150" s="359"/>
      <c r="B150" s="492" t="str">
        <f>VLOOKUP(B198,SETUP!$A$2:$C$85,2,TRUE)</f>
        <v>---</v>
      </c>
      <c r="C150" s="384"/>
      <c r="D150" s="378"/>
      <c r="E150" s="492" t="str">
        <f>VLOOKUP(E198,SETUP!$A$127:$C$146,2,TRUE)</f>
        <v>---</v>
      </c>
      <c r="F150" s="492" t="str">
        <f>VLOOKUP(G198,SETUP!$A$88:$C$124,2,TRUE)</f>
        <v>---</v>
      </c>
      <c r="G150" s="326"/>
      <c r="H150" s="779">
        <f>(VLOOKUP(B198,SETUP!$A$2:$C$85,3,TRUE)*(((VLOOKUP(E198,SETUP!$A$127:$C$146,3,TRUE)*(VLOOKUP(G198,SETUP!$A$88:$C$124,3,TRUE)))))*C150*(K1+(D150/4)))*(IF(K76="no",1,IF(K76="si",2)))</f>
        <v>0</v>
      </c>
      <c r="I150" s="404"/>
      <c r="J150" s="393"/>
      <c r="K150" s="320"/>
      <c r="L150" s="5"/>
      <c r="M150" s="5"/>
      <c r="N150" s="5"/>
      <c r="O150" s="5"/>
      <c r="P150" s="5"/>
      <c r="Q150" s="5"/>
      <c r="R150" s="5"/>
      <c r="S150" s="5"/>
      <c r="T150" s="5"/>
      <c r="U150" s="5"/>
      <c r="V150" s="5"/>
    </row>
    <row r="151" spans="1:22" ht="12.75" customHeight="1">
      <c r="A151" s="376"/>
      <c r="B151" s="492" t="str">
        <f>VLOOKUP(B199,SETUP!$A$2:$C$85,2,TRUE)</f>
        <v>---</v>
      </c>
      <c r="C151" s="384"/>
      <c r="D151" s="378"/>
      <c r="E151" s="492" t="str">
        <f>VLOOKUP(E199,SETUP!$A$127:$C$146,2,TRUE)</f>
        <v>---</v>
      </c>
      <c r="F151" s="492" t="str">
        <f>VLOOKUP(G199,SETUP!$A$88:$C$124,2,TRUE)</f>
        <v>---</v>
      </c>
      <c r="G151" s="376"/>
      <c r="H151" s="779">
        <f>(VLOOKUP(B199,SETUP!$A$2:$C$85,3,TRUE)*(((VLOOKUP(E199,SETUP!$A$127:$C$146,3,TRUE)*(VLOOKUP(G199,SETUP!$A$88:$C$124,3,TRUE)))))*C151*(K1+(D151/4)))*(IF(K76="no",1,IF(K76="si",2)))</f>
        <v>0</v>
      </c>
      <c r="I151" s="379" t="s">
        <v>616</v>
      </c>
      <c r="J151" s="380" t="s">
        <v>425</v>
      </c>
      <c r="K151" s="381" t="s">
        <v>57</v>
      </c>
      <c r="L151" s="5"/>
      <c r="M151" s="5"/>
      <c r="N151" s="5"/>
      <c r="O151" s="5"/>
      <c r="P151" s="5"/>
      <c r="Q151" s="5"/>
      <c r="R151" s="5"/>
      <c r="S151" s="5"/>
      <c r="T151" s="5"/>
      <c r="U151" s="5"/>
      <c r="V151" s="5"/>
    </row>
    <row r="152" spans="1:22" ht="12.75" customHeight="1">
      <c r="A152" s="376"/>
      <c r="B152" s="492" t="str">
        <f>VLOOKUP(B200,SETUP!$A$2:$C$85,2,TRUE)</f>
        <v>---</v>
      </c>
      <c r="C152" s="384"/>
      <c r="D152" s="378"/>
      <c r="E152" s="492" t="str">
        <f>VLOOKUP(E200,SETUP!$A$127:$C$146,2,TRUE)</f>
        <v>---</v>
      </c>
      <c r="F152" s="492" t="str">
        <f>VLOOKUP(G200,SETUP!$A$88:$C$124,2,TRUE)</f>
        <v>---</v>
      </c>
      <c r="G152" s="326"/>
      <c r="H152" s="779">
        <f>(VLOOKUP(B200,SETUP!$A$2:$C$85,3,TRUE)*(((VLOOKUP(E200,SETUP!$A$127:$C$146,3,TRUE)*(VLOOKUP(G200,SETUP!$A$88:$C$124,3,TRUE)))))*C152*(K1+(D152/4)))*(IF(K76="no",1,IF(K76="si",2)))</f>
        <v>0</v>
      </c>
      <c r="I152" s="382" t="s">
        <v>424</v>
      </c>
      <c r="J152" s="383"/>
      <c r="K152" s="400"/>
      <c r="L152" s="5"/>
      <c r="M152" s="5"/>
      <c r="N152" s="5"/>
      <c r="O152" s="5"/>
      <c r="P152" s="5"/>
      <c r="Q152" s="5"/>
      <c r="R152" s="5"/>
      <c r="S152" s="5"/>
      <c r="T152" s="5"/>
      <c r="U152" s="5"/>
      <c r="V152" s="5"/>
    </row>
    <row r="153" spans="1:22" ht="12.75" customHeight="1">
      <c r="A153" s="376"/>
      <c r="B153" s="492" t="str">
        <f>VLOOKUP(B201,SETUP!$A$2:$C$85,2,TRUE)</f>
        <v>---</v>
      </c>
      <c r="C153" s="399"/>
      <c r="D153" s="378"/>
      <c r="E153" s="492" t="str">
        <f>VLOOKUP(E201,SETUP!$A$127:$C$146,2,TRUE)</f>
        <v>---</v>
      </c>
      <c r="F153" s="492" t="str">
        <f>VLOOKUP(G201,SETUP!$A$88:$C$124,2,TRUE)</f>
        <v>---</v>
      </c>
      <c r="G153" s="326"/>
      <c r="H153" s="779">
        <f>(VLOOKUP(B201,SETUP!$A$2:$C$85,3,TRUE)*(((VLOOKUP(E201,SETUP!$A$127:$C$146,3,TRUE)*(VLOOKUP(G201,SETUP!$A$88:$C$124,3,TRUE)))))*C153*(K1+(D153/4)))*(IF(K76="no",1,IF(K76="si",2)))</f>
        <v>0</v>
      </c>
      <c r="I153" s="385" t="s">
        <v>644</v>
      </c>
      <c r="J153" s="393"/>
      <c r="K153" s="387" t="s">
        <v>58</v>
      </c>
      <c r="L153" s="5"/>
      <c r="M153" s="5"/>
      <c r="N153" s="5"/>
      <c r="O153" s="5"/>
      <c r="P153" s="5"/>
      <c r="Q153" s="5"/>
      <c r="R153" s="5"/>
      <c r="S153" s="5"/>
      <c r="T153" s="5"/>
      <c r="U153" s="5"/>
      <c r="V153" s="5"/>
    </row>
    <row r="154" spans="1:22" ht="12.75" customHeight="1">
      <c r="A154" s="359"/>
      <c r="B154" s="492" t="str">
        <f>VLOOKUP(B202,SETUP!$A$2:$C$85,2,TRUE)</f>
        <v>---</v>
      </c>
      <c r="C154" s="384"/>
      <c r="D154" s="378"/>
      <c r="E154" s="492" t="str">
        <f>VLOOKUP(E202,SETUP!$A$127:$C$146,2,TRUE)</f>
        <v>---</v>
      </c>
      <c r="F154" s="492" t="str">
        <f>VLOOKUP(G202,SETUP!$A$88:$C$124,2,TRUE)</f>
        <v>---</v>
      </c>
      <c r="G154" s="326"/>
      <c r="H154" s="779">
        <f>(VLOOKUP(B202,SETUP!$A$2:$C$85,3,TRUE)*(((VLOOKUP(E202,SETUP!$A$127:$C$146,3,TRUE)*(VLOOKUP(G202,SETUP!$A$88:$C$124,3,TRUE)))))*C154*(K1+(D154/4)))*(IF(K76="no",1,IF(K76="si",2)))</f>
        <v>0</v>
      </c>
      <c r="I154" s="385" t="s">
        <v>426</v>
      </c>
      <c r="J154" s="393"/>
      <c r="K154" s="402"/>
      <c r="L154" s="5"/>
      <c r="M154" s="5"/>
      <c r="N154" s="5"/>
      <c r="O154" s="5"/>
      <c r="P154" s="5"/>
      <c r="Q154" s="5"/>
      <c r="R154" s="5"/>
      <c r="S154" s="5"/>
      <c r="T154" s="5"/>
      <c r="U154" s="5"/>
      <c r="V154" s="5"/>
    </row>
    <row r="155" spans="1:22" ht="12.75" customHeight="1">
      <c r="A155" s="394"/>
      <c r="B155" s="492" t="str">
        <f>VLOOKUP(B203,SETUP!$A$2:$C$85,2,TRUE)</f>
        <v>---</v>
      </c>
      <c r="C155" s="384"/>
      <c r="D155" s="378"/>
      <c r="E155" s="492" t="str">
        <f>VLOOKUP(E203,SETUP!$A$127:$C$146,2,TRUE)</f>
        <v>---</v>
      </c>
      <c r="F155" s="492" t="str">
        <f>VLOOKUP(G203,SETUP!$A$88:$C$124,2,TRUE)</f>
        <v>---</v>
      </c>
      <c r="G155" s="326"/>
      <c r="H155" s="779">
        <f>(VLOOKUP(B203,SETUP!$A$2:$C$85,3,TRUE)*(((VLOOKUP(E203,SETUP!$A$127:$C$146,3,TRUE)*(VLOOKUP(G203,SETUP!$A$88:$C$124,3,TRUE)))))*C155*(K1+(D155/4)))*(IF(K76="no",1,IF(K76="si",2)))</f>
        <v>0</v>
      </c>
      <c r="I155" s="403"/>
      <c r="J155" s="393"/>
      <c r="K155" s="320"/>
      <c r="L155" s="5"/>
      <c r="M155" s="5"/>
      <c r="N155" s="5"/>
      <c r="O155" s="5"/>
      <c r="P155" s="5"/>
      <c r="Q155" s="5"/>
      <c r="R155" s="5"/>
      <c r="S155" s="5"/>
      <c r="T155" s="5"/>
      <c r="U155" s="5"/>
      <c r="V155" s="5"/>
    </row>
    <row r="156" spans="1:22" ht="12.75" customHeight="1" thickBot="1">
      <c r="A156" s="394"/>
      <c r="B156" s="492" t="str">
        <f>VLOOKUP(B204,SETUP!$A$2:$C$85,2,TRUE)</f>
        <v>---</v>
      </c>
      <c r="C156" s="384"/>
      <c r="D156" s="378"/>
      <c r="E156" s="492" t="str">
        <f>VLOOKUP(E204,SETUP!$A$127:$C$146,2,TRUE)</f>
        <v>---</v>
      </c>
      <c r="F156" s="492" t="str">
        <f>VLOOKUP(G204,SETUP!$A$88:$C$124,2,TRUE)</f>
        <v>---</v>
      </c>
      <c r="G156" s="326"/>
      <c r="H156" s="779">
        <f>(VLOOKUP(B204,SETUP!$A$2:$C$85,3,TRUE)*(((VLOOKUP(E204,SETUP!$A$127:$C$146,3,TRUE)*(VLOOKUP(G204,SETUP!$A$88:$C$124,3,TRUE)))))*C156*(K1+(D156/4)))*(IF(K76="no",1,IF(K76="si",2)))</f>
        <v>0</v>
      </c>
      <c r="I156" s="405"/>
      <c r="J156" s="406"/>
      <c r="K156" s="397"/>
      <c r="L156" s="5"/>
      <c r="M156" s="5"/>
      <c r="N156" s="5"/>
      <c r="O156" s="5"/>
      <c r="P156" s="5"/>
      <c r="Q156" s="5"/>
      <c r="R156" s="5"/>
      <c r="S156" s="5"/>
      <c r="T156" s="5"/>
      <c r="U156" s="5"/>
      <c r="V156" s="5"/>
    </row>
    <row r="157" spans="1:22" ht="12.75" customHeight="1">
      <c r="A157" s="376"/>
      <c r="B157" s="492" t="str">
        <f>VLOOKUP(B205,SETUP!$A$2:$C$85,2,TRUE)</f>
        <v>---</v>
      </c>
      <c r="C157" s="384"/>
      <c r="D157" s="378"/>
      <c r="E157" s="492" t="str">
        <f>VLOOKUP(E205,SETUP!$A$127:$C$146,2,TRUE)</f>
        <v>---</v>
      </c>
      <c r="F157" s="492" t="str">
        <f>VLOOKUP(G205,SETUP!$A$88:$C$124,2,TRUE)</f>
        <v>---</v>
      </c>
      <c r="G157" s="376"/>
      <c r="H157" s="779">
        <f>(VLOOKUP(B205,SETUP!$A$2:$C$85,3,TRUE)*(((VLOOKUP(E205,SETUP!$A$127:$C$146,3,TRUE)*(VLOOKUP(G205,SETUP!$A$88:$C$124,3,TRUE)))))*C157*(K1+(D157/4)))*(IF(K76="no",1,IF(K76="si",2)))</f>
        <v>0</v>
      </c>
      <c r="I157" s="379" t="s">
        <v>616</v>
      </c>
      <c r="J157" s="380" t="s">
        <v>425</v>
      </c>
      <c r="K157" s="381" t="s">
        <v>57</v>
      </c>
      <c r="L157" s="5"/>
      <c r="M157" s="5"/>
      <c r="N157" s="5"/>
      <c r="O157" s="5"/>
      <c r="P157" s="5"/>
      <c r="Q157" s="5"/>
      <c r="R157" s="5"/>
      <c r="S157" s="5"/>
      <c r="T157" s="5"/>
      <c r="U157" s="5"/>
      <c r="V157" s="5"/>
    </row>
    <row r="158" spans="1:22" ht="12.75" customHeight="1">
      <c r="A158" s="376"/>
      <c r="B158" s="492" t="str">
        <f>VLOOKUP(B206,SETUP!$A$2:$C$85,2,TRUE)</f>
        <v>---</v>
      </c>
      <c r="C158" s="384"/>
      <c r="D158" s="378"/>
      <c r="E158" s="492" t="str">
        <f>VLOOKUP(E206,SETUP!$A$127:$C$146,2,TRUE)</f>
        <v>---</v>
      </c>
      <c r="F158" s="492" t="str">
        <f>VLOOKUP(G206,SETUP!$A$88:$C$124,2,TRUE)</f>
        <v>---</v>
      </c>
      <c r="G158" s="326"/>
      <c r="H158" s="565">
        <f>(VLOOKUP(B206,SETUP!$A$2:$C$85,3,TRUE)*(((VLOOKUP(E206,SETUP!$A$127:$C$146,3,TRUE)*(VLOOKUP(G206,SETUP!$A$88:$C$124,3,TRUE)))))*C158*(K1+(D158/4)))*(IF(K76="no",1,IF(K76="si",2)))</f>
        <v>0</v>
      </c>
      <c r="I158" s="382" t="s">
        <v>424</v>
      </c>
      <c r="J158" s="383"/>
      <c r="K158" s="400"/>
      <c r="L158" s="5"/>
      <c r="M158" s="5"/>
      <c r="N158" s="5"/>
      <c r="O158" s="5"/>
      <c r="P158" s="5"/>
      <c r="Q158" s="5"/>
      <c r="R158" s="5"/>
      <c r="S158" s="5"/>
      <c r="T158" s="5"/>
      <c r="U158" s="5"/>
      <c r="V158" s="5"/>
    </row>
    <row r="159" spans="1:22" ht="12.75" customHeight="1">
      <c r="A159" s="376"/>
      <c r="B159" s="492" t="str">
        <f>VLOOKUP(B207,SETUP!$A$2:$C$85,2,TRUE)</f>
        <v>---</v>
      </c>
      <c r="C159" s="384"/>
      <c r="D159" s="378"/>
      <c r="E159" s="492" t="str">
        <f>VLOOKUP(E207,SETUP!$A$127:$C$146,2,TRUE)</f>
        <v>---</v>
      </c>
      <c r="F159" s="492" t="str">
        <f>VLOOKUP(G207,SETUP!$A$88:$C$124,2,TRUE)</f>
        <v>---</v>
      </c>
      <c r="G159" s="326"/>
      <c r="H159" s="565">
        <f>(VLOOKUP(B207,SETUP!$A$2:$C$85,3,TRUE)*(((VLOOKUP(E207,SETUP!$A$127:$C$146,3,TRUE)*(VLOOKUP(G207,SETUP!$A$88:$C$124,3,TRUE)))))*C159*(K1+(D159/4)))*(IF(K76="no",1,IF(K76="si",2)))</f>
        <v>0</v>
      </c>
      <c r="I159" s="385" t="s">
        <v>644</v>
      </c>
      <c r="J159" s="393"/>
      <c r="K159" s="387" t="s">
        <v>58</v>
      </c>
      <c r="L159" s="5"/>
      <c r="M159" s="5"/>
      <c r="N159" s="5"/>
      <c r="O159" s="5"/>
      <c r="P159" s="5"/>
      <c r="Q159" s="5"/>
      <c r="R159" s="5"/>
      <c r="S159" s="5"/>
      <c r="T159" s="5"/>
      <c r="U159" s="5"/>
      <c r="V159" s="5"/>
    </row>
    <row r="160" spans="1:22" ht="12.75" customHeight="1">
      <c r="A160" s="359"/>
      <c r="B160" s="492" t="str">
        <f>VLOOKUP(B208,SETUP!$A$2:$C$85,2,TRUE)</f>
        <v>---</v>
      </c>
      <c r="C160" s="384"/>
      <c r="D160" s="378"/>
      <c r="E160" s="492" t="str">
        <f>VLOOKUP(E208,SETUP!$A$127:$C$146,2,TRUE)</f>
        <v>---</v>
      </c>
      <c r="F160" s="492" t="str">
        <f>VLOOKUP(G208,SETUP!$A$88:$C$124,2,TRUE)</f>
        <v>---</v>
      </c>
      <c r="G160" s="376"/>
      <c r="H160" s="565">
        <f>(VLOOKUP(B208,SETUP!$A$2:$C$85,3,TRUE)*(((VLOOKUP(E208,SETUP!$A$127:$C$146,3,TRUE)*(VLOOKUP(G208,SETUP!$A$88:$C$124,3,TRUE)))))*C160*(K1+(D160/4)))*(IF(K76="no",1,IF(K76="si",2)))</f>
        <v>0</v>
      </c>
      <c r="I160" s="385" t="s">
        <v>426</v>
      </c>
      <c r="J160" s="393"/>
      <c r="K160" s="389"/>
      <c r="L160" s="5"/>
      <c r="M160" s="5"/>
      <c r="N160" s="5"/>
      <c r="O160" s="5"/>
      <c r="P160" s="5"/>
      <c r="Q160" s="5"/>
      <c r="R160" s="5"/>
      <c r="S160" s="5"/>
      <c r="T160" s="5"/>
      <c r="U160" s="5"/>
      <c r="V160" s="5"/>
    </row>
    <row r="161" spans="1:22" ht="12.75" customHeight="1">
      <c r="A161" s="407"/>
      <c r="B161" s="492" t="str">
        <f>VLOOKUP(B209,SETUP!$A$2:$C$85,2,TRUE)</f>
        <v>---</v>
      </c>
      <c r="C161" s="384"/>
      <c r="D161" s="378"/>
      <c r="E161" s="492" t="str">
        <f>VLOOKUP(E209,SETUP!$A$127:$C$146,2,TRUE)</f>
        <v>---</v>
      </c>
      <c r="F161" s="492" t="str">
        <f>VLOOKUP(G209,SETUP!$A$88:$C$124,2,TRUE)</f>
        <v>---</v>
      </c>
      <c r="G161" s="326"/>
      <c r="H161" s="565">
        <f>(VLOOKUP(B209,SETUP!$A$2:$C$85,3,TRUE)*(((VLOOKUP(E209,SETUP!$A$127:$C$146,3,TRUE)*(VLOOKUP(G209,SETUP!$A$88:$C$124,3,TRUE)))))*C161*(K1+(D161/4)))*(IF(K76="no",1,IF(K76="si",2)))</f>
        <v>0</v>
      </c>
      <c r="I161" s="392"/>
      <c r="J161" s="393"/>
      <c r="K161" s="320"/>
      <c r="L161" s="5"/>
      <c r="M161" s="5"/>
      <c r="N161" s="5"/>
      <c r="O161" s="5"/>
      <c r="P161" s="5"/>
      <c r="Q161" s="5"/>
      <c r="R161" s="5"/>
      <c r="S161" s="5"/>
      <c r="T161" s="5"/>
      <c r="U161" s="5"/>
      <c r="V161" s="5"/>
    </row>
    <row r="162" spans="1:22" ht="12.75" customHeight="1" thickBot="1">
      <c r="A162" s="408"/>
      <c r="B162" s="492" t="str">
        <f>VLOOKUP(B210,SETUP!$A$2:$C$85,2,TRUE)</f>
        <v>---</v>
      </c>
      <c r="C162" s="384"/>
      <c r="D162" s="378"/>
      <c r="E162" s="492" t="str">
        <f>VLOOKUP(E210,SETUP!$A$127:$C$146,2,TRUE)</f>
        <v>---</v>
      </c>
      <c r="F162" s="492" t="str">
        <f>VLOOKUP(G210,SETUP!$A$88:$C$124,2,TRUE)</f>
        <v>---</v>
      </c>
      <c r="G162" s="326"/>
      <c r="H162" s="565">
        <f>(VLOOKUP(B210,SETUP!$A$2:$C$85,3,TRUE)*(((VLOOKUP(E210,SETUP!$A$127:$C$146,3,TRUE)*(VLOOKUP(G210,SETUP!$A$88:$C$124,3,TRUE)))))*C162*(K1+(D162/4)))*(IF(K76="no",1,IF(K76="si",2)))</f>
        <v>0</v>
      </c>
      <c r="I162" s="392"/>
      <c r="J162" s="393"/>
      <c r="K162" s="320"/>
      <c r="L162" s="5"/>
      <c r="M162" s="5"/>
      <c r="N162" s="5"/>
      <c r="O162" s="5"/>
      <c r="P162" s="5"/>
      <c r="Q162" s="5"/>
      <c r="R162" s="5"/>
      <c r="S162" s="5"/>
      <c r="T162" s="5"/>
      <c r="U162" s="5"/>
      <c r="V162" s="5"/>
    </row>
    <row r="163" spans="1:22" ht="12.75" customHeight="1">
      <c r="A163" s="376"/>
      <c r="B163" s="492" t="str">
        <f>VLOOKUP(B211,SETUP!$A$2:$C$85,2,TRUE)</f>
        <v>---</v>
      </c>
      <c r="C163" s="409"/>
      <c r="D163" s="378"/>
      <c r="E163" s="492" t="str">
        <f>VLOOKUP(E211,SETUP!$A$127:$C$146,2,TRUE)</f>
        <v>---</v>
      </c>
      <c r="F163" s="492" t="str">
        <f>VLOOKUP(G211,SETUP!$A$88:$C$124,2,TRUE)</f>
        <v>---</v>
      </c>
      <c r="G163" s="376"/>
      <c r="H163" s="565">
        <f>(VLOOKUP(B211,SETUP!$A$2:$C$85,3,TRUE)*(((VLOOKUP(E211,SETUP!$A$127:$C$146,3,TRUE)*(VLOOKUP(G211,SETUP!$A$88:$C$124,3,TRUE)))))*C163*(K1+(D163/4)))*(IF(K76="no",1,IF(K76="si",2)))</f>
        <v>0</v>
      </c>
      <c r="I163" s="379" t="s">
        <v>616</v>
      </c>
      <c r="J163" s="380" t="s">
        <v>425</v>
      </c>
      <c r="K163" s="381" t="s">
        <v>57</v>
      </c>
      <c r="L163" s="5"/>
      <c r="M163" s="5"/>
      <c r="N163" s="5"/>
      <c r="O163" s="5"/>
      <c r="P163" s="5"/>
      <c r="Q163" s="5"/>
      <c r="R163" s="5"/>
      <c r="S163" s="5"/>
      <c r="T163" s="5"/>
      <c r="U163" s="5"/>
      <c r="V163" s="5"/>
    </row>
    <row r="164" spans="1:22" ht="12.75" customHeight="1">
      <c r="A164" s="376"/>
      <c r="B164" s="492" t="str">
        <f>VLOOKUP(B212,SETUP!$A$2:$C$85,2,TRUE)</f>
        <v>---</v>
      </c>
      <c r="C164" s="409"/>
      <c r="D164" s="378"/>
      <c r="E164" s="492" t="str">
        <f>VLOOKUP(E212,SETUP!$A$127:$C$146,2,TRUE)</f>
        <v>---</v>
      </c>
      <c r="F164" s="492" t="str">
        <f>VLOOKUP(G212,SETUP!$A$88:$C$124,2,TRUE)</f>
        <v>---</v>
      </c>
      <c r="G164" s="376"/>
      <c r="H164" s="565">
        <f>(VLOOKUP(B212,SETUP!$A$2:$C$85,3,TRUE)*(((VLOOKUP(E212,SETUP!$A$127:$C$146,3,TRUE)*(VLOOKUP(G212,SETUP!$A$88:$C$124,3,TRUE)))))*C164*(K1+(D164/4)))*(IF(K76="no",1,IF(K76="si",2)))</f>
        <v>0</v>
      </c>
      <c r="I164" s="382" t="s">
        <v>424</v>
      </c>
      <c r="J164" s="383"/>
      <c r="K164" s="400"/>
      <c r="L164" s="5"/>
      <c r="M164" s="5"/>
      <c r="N164" s="5"/>
      <c r="O164" s="5"/>
      <c r="P164" s="5"/>
      <c r="Q164" s="5"/>
      <c r="R164" s="5"/>
      <c r="S164" s="5"/>
      <c r="T164" s="5"/>
      <c r="U164" s="5"/>
      <c r="V164" s="5"/>
    </row>
    <row r="165" spans="1:22" ht="12.75" customHeight="1">
      <c r="A165" s="376"/>
      <c r="B165" s="492" t="str">
        <f>VLOOKUP(B213,SETUP!$A$2:$C$85,2,TRUE)</f>
        <v>---</v>
      </c>
      <c r="C165" s="409"/>
      <c r="D165" s="378"/>
      <c r="E165" s="492" t="str">
        <f>VLOOKUP(E213,SETUP!$A$127:$C$146,2,TRUE)</f>
        <v>---</v>
      </c>
      <c r="F165" s="492" t="str">
        <f>VLOOKUP(G213,SETUP!$A$88:$C$124,2,TRUE)</f>
        <v>---</v>
      </c>
      <c r="G165" s="376"/>
      <c r="H165" s="565">
        <f>(VLOOKUP(B213,SETUP!$A$2:$C$85,3,TRUE)*(((VLOOKUP(E213,SETUP!$A$127:$C$146,3,TRUE)*(VLOOKUP(G213,SETUP!$A$88:$C$124,3,TRUE)))))*C165*(K1+(D165/4)))*(IF(K76="no",1,IF(K76="si",2)))</f>
        <v>0</v>
      </c>
      <c r="I165" s="385" t="s">
        <v>644</v>
      </c>
      <c r="J165" s="393"/>
      <c r="K165" s="387" t="s">
        <v>58</v>
      </c>
      <c r="L165" s="5"/>
      <c r="M165" s="5"/>
      <c r="N165" s="5"/>
      <c r="O165" s="5"/>
      <c r="P165" s="5"/>
      <c r="Q165" s="5"/>
      <c r="R165" s="5"/>
      <c r="S165" s="5"/>
      <c r="T165" s="5"/>
      <c r="U165" s="5"/>
      <c r="V165" s="5"/>
    </row>
    <row r="166" spans="1:22" ht="12.75" customHeight="1">
      <c r="A166" s="359"/>
      <c r="B166" s="492" t="str">
        <f>VLOOKUP(B214,SETUP!$A$2:$C$85,2,TRUE)</f>
        <v>---</v>
      </c>
      <c r="C166" s="409"/>
      <c r="D166" s="378"/>
      <c r="E166" s="492" t="str">
        <f>VLOOKUP(E214,SETUP!$A$127:$C$146,2,TRUE)</f>
        <v>---</v>
      </c>
      <c r="F166" s="492" t="str">
        <f>VLOOKUP(G214,SETUP!$A$88:$C$124,2,TRUE)</f>
        <v>---</v>
      </c>
      <c r="G166" s="326"/>
      <c r="H166" s="565">
        <f>(VLOOKUP(B214,SETUP!$A$2:$C$85,3,TRUE)*(((VLOOKUP(E214,SETUP!$A$127:$C$146,3,TRUE)*(VLOOKUP(G214,SETUP!$A$88:$C$124,3,TRUE)))))*C166*(K1+(D166/4)))*(IF(K76="no",1,IF(K76="si",2)))</f>
        <v>0</v>
      </c>
      <c r="I166" s="385" t="s">
        <v>426</v>
      </c>
      <c r="J166" s="393"/>
      <c r="K166" s="402"/>
      <c r="L166" s="5"/>
      <c r="M166" s="5"/>
      <c r="N166" s="5"/>
      <c r="O166" s="5"/>
      <c r="P166" s="5"/>
      <c r="Q166" s="5"/>
      <c r="R166" s="5"/>
      <c r="S166" s="5"/>
      <c r="T166" s="5"/>
      <c r="U166" s="5"/>
      <c r="V166" s="5"/>
    </row>
    <row r="167" spans="1:22" ht="12.75" customHeight="1">
      <c r="A167" s="359"/>
      <c r="B167" s="492" t="str">
        <f>VLOOKUP(B215,SETUP!$A$2:$C$85,2,TRUE)</f>
        <v>---</v>
      </c>
      <c r="C167" s="409"/>
      <c r="D167" s="378"/>
      <c r="E167" s="492" t="str">
        <f>VLOOKUP(E215,SETUP!$A$127:$C$146,2,TRUE)</f>
        <v>---</v>
      </c>
      <c r="F167" s="492" t="str">
        <f>VLOOKUP(G215,SETUP!$A$88:$C$124,2,TRUE)</f>
        <v>---</v>
      </c>
      <c r="G167" s="326"/>
      <c r="H167" s="565">
        <f>(VLOOKUP(B215,SETUP!$A$2:$C$85,3,TRUE)*(((VLOOKUP(E215,SETUP!$A$127:$C$146,3,TRUE)*(VLOOKUP(G215,SETUP!$A$88:$C$124,3,TRUE)))))*C167*(K1+(D167/4)))*(IF(K76="no",1,IF(K76="si",2)))</f>
        <v>0</v>
      </c>
      <c r="I167" s="403"/>
      <c r="J167" s="393"/>
      <c r="K167" s="320"/>
      <c r="L167" s="5"/>
      <c r="M167" s="5"/>
      <c r="N167" s="5"/>
      <c r="O167" s="5"/>
      <c r="P167" s="5"/>
      <c r="Q167" s="5"/>
      <c r="R167" s="5"/>
      <c r="S167" s="5"/>
      <c r="T167" s="5"/>
      <c r="U167" s="5"/>
      <c r="V167" s="5"/>
    </row>
    <row r="168" spans="1:22" ht="12.75" customHeight="1" thickBot="1">
      <c r="A168" s="359"/>
      <c r="B168" s="492" t="str">
        <f>VLOOKUP(B216,SETUP!$A$2:$C$85,2,TRUE)</f>
        <v>---</v>
      </c>
      <c r="C168" s="409"/>
      <c r="D168" s="378"/>
      <c r="E168" s="492" t="str">
        <f>VLOOKUP(E216,SETUP!$A$127:$C$146,2,TRUE)</f>
        <v>---</v>
      </c>
      <c r="F168" s="492" t="str">
        <f>VLOOKUP(G216,SETUP!$A$88:$C$124,2,TRUE)</f>
        <v>---</v>
      </c>
      <c r="G168" s="376"/>
      <c r="H168" s="565">
        <f>(VLOOKUP(B216,SETUP!$A$2:$C$85,3,TRUE)*(((VLOOKUP(E216,SETUP!$A$127:$C$146,3,TRUE)*(VLOOKUP(G216,SETUP!$A$88:$C$124,3,TRUE)))))*C168*(K1+(D168/4)))*(IF(K76="no",1,IF(K76="si",2)))</f>
        <v>0</v>
      </c>
      <c r="I168" s="405"/>
      <c r="J168" s="406"/>
      <c r="K168" s="397"/>
      <c r="L168" s="5"/>
      <c r="M168" s="5"/>
      <c r="N168" s="5"/>
      <c r="O168" s="5"/>
      <c r="P168" s="5"/>
      <c r="Q168" s="5"/>
      <c r="R168" s="5"/>
      <c r="S168" s="5"/>
      <c r="T168" s="5"/>
      <c r="U168" s="5"/>
      <c r="V168" s="5"/>
    </row>
    <row r="169" spans="1:22" ht="12.75" customHeight="1">
      <c r="A169" s="376"/>
      <c r="B169" s="492" t="str">
        <f>VLOOKUP(B217,SETUP!$A$2:$C$85,2,TRUE)</f>
        <v>---</v>
      </c>
      <c r="C169" s="409"/>
      <c r="D169" s="378"/>
      <c r="E169" s="492" t="str">
        <f>VLOOKUP(E217,SETUP!$A$127:$C$146,2,TRUE)</f>
        <v>---</v>
      </c>
      <c r="F169" s="492" t="str">
        <f>VLOOKUP(G217,SETUP!$A$88:$C$124,2,TRUE)</f>
        <v>---</v>
      </c>
      <c r="G169" s="376"/>
      <c r="H169" s="565">
        <f>(VLOOKUP(B217,SETUP!$A$2:$C$85,3,TRUE)*(((VLOOKUP(E217,SETUP!$A$127:$C$146,3,TRUE)*(VLOOKUP(G217,SETUP!$A$88:$C$124,3,TRUE)))))*C169*(K1+(D169/4)))*(IF(K76="no",1,IF(K76="si",2)))</f>
        <v>0</v>
      </c>
      <c r="I169" s="410" t="s">
        <v>685</v>
      </c>
      <c r="J169" s="380" t="s">
        <v>425</v>
      </c>
      <c r="K169" s="381" t="s">
        <v>57</v>
      </c>
      <c r="L169" s="5"/>
      <c r="M169" s="5"/>
      <c r="N169" s="5"/>
      <c r="O169" s="5"/>
      <c r="P169" s="5"/>
      <c r="Q169" s="5"/>
      <c r="R169" s="5"/>
      <c r="S169" s="5"/>
      <c r="T169" s="5"/>
      <c r="U169" s="5"/>
      <c r="V169" s="5"/>
    </row>
    <row r="170" spans="1:22" ht="12.75" customHeight="1">
      <c r="A170" s="376"/>
      <c r="B170" s="492" t="str">
        <f>VLOOKUP(B218,SETUP!$A$2:$C$85,2,TRUE)</f>
        <v>---</v>
      </c>
      <c r="C170" s="409"/>
      <c r="D170" s="378"/>
      <c r="E170" s="492" t="str">
        <f>VLOOKUP(E218,SETUP!$A$127:$C$146,2,TRUE)</f>
        <v>---</v>
      </c>
      <c r="F170" s="492" t="str">
        <f>VLOOKUP(G218,SETUP!$A$88:$C$124,2,TRUE)</f>
        <v>---</v>
      </c>
      <c r="G170" s="326"/>
      <c r="H170" s="565">
        <f>(VLOOKUP(B218,SETUP!$A$2:$C$85,3,TRUE)*(((VLOOKUP(E218,SETUP!$A$127:$C$146,3,TRUE)*(VLOOKUP(G218,SETUP!$A$88:$C$124,3,TRUE)))))*C170*(K1+(D170/4)))*(IF(K76="no",1,IF(K76="si",2)))</f>
        <v>0</v>
      </c>
      <c r="I170" s="382" t="s">
        <v>424</v>
      </c>
      <c r="J170" s="383"/>
      <c r="K170" s="400"/>
      <c r="L170" s="5"/>
      <c r="M170" s="5"/>
      <c r="N170" s="5"/>
      <c r="O170" s="5"/>
      <c r="P170" s="5"/>
      <c r="Q170" s="5"/>
      <c r="R170" s="5"/>
      <c r="S170" s="5"/>
      <c r="T170" s="5"/>
      <c r="U170" s="5"/>
      <c r="V170" s="5"/>
    </row>
    <row r="171" spans="1:22" ht="12.75" customHeight="1">
      <c r="A171" s="376"/>
      <c r="B171" s="492" t="str">
        <f>VLOOKUP(B219,SETUP!$A$2:$C$85,2,TRUE)</f>
        <v>---</v>
      </c>
      <c r="C171" s="409"/>
      <c r="D171" s="378"/>
      <c r="E171" s="492" t="str">
        <f>VLOOKUP(E219,SETUP!$A$127:$C$146,2,TRUE)</f>
        <v>---</v>
      </c>
      <c r="F171" s="492" t="str">
        <f>VLOOKUP(G219,SETUP!$A$88:$C$124,2,TRUE)</f>
        <v>---</v>
      </c>
      <c r="G171" s="326"/>
      <c r="H171" s="565">
        <f>(VLOOKUP(B219,SETUP!$A$2:$C$85,3,TRUE)*(((VLOOKUP(E219,SETUP!$A$127:$C$146,3,TRUE)*(VLOOKUP(G219,SETUP!$A$88:$C$124,3,TRUE)))))*C171*(K1+(D171/4)))*(IF(K76="no",1,IF(K76="si",2)))</f>
        <v>0</v>
      </c>
      <c r="I171" s="385" t="s">
        <v>689</v>
      </c>
      <c r="J171" s="393"/>
      <c r="K171" s="387" t="s">
        <v>58</v>
      </c>
      <c r="L171" s="5"/>
      <c r="M171" s="5"/>
      <c r="N171" s="5"/>
      <c r="O171" s="5"/>
      <c r="P171" s="5"/>
      <c r="Q171" s="5"/>
      <c r="R171" s="5"/>
      <c r="S171" s="5"/>
      <c r="T171" s="5"/>
      <c r="U171" s="5"/>
      <c r="V171" s="5"/>
    </row>
    <row r="172" spans="1:22" ht="12.75" customHeight="1">
      <c r="A172" s="251"/>
      <c r="B172" s="492" t="str">
        <f>VLOOKUP(B220,SETUP!$A$2:$C$85,2,TRUE)</f>
        <v>---</v>
      </c>
      <c r="C172" s="409"/>
      <c r="D172" s="378"/>
      <c r="E172" s="492" t="str">
        <f>VLOOKUP(E220,SETUP!$A$127:$C$146,2,TRUE)</f>
        <v>---</v>
      </c>
      <c r="F172" s="492" t="str">
        <f>VLOOKUP(G220,SETUP!$A$88:$C$124,2,TRUE)</f>
        <v>---</v>
      </c>
      <c r="G172" s="401"/>
      <c r="H172" s="565">
        <f>(VLOOKUP(B220,SETUP!$A$2:$C$85,3,TRUE)*(((VLOOKUP(E220,SETUP!$A$127:$C$146,3,TRUE)*(VLOOKUP(G220,SETUP!$A$88:$C$124,3,TRUE)))))*C172*(K1+(D172/4)))*(IF(K76="no",1,IF(K76="si",2)))</f>
        <v>0</v>
      </c>
      <c r="I172" s="385" t="s">
        <v>426</v>
      </c>
      <c r="J172" s="393"/>
      <c r="K172" s="402"/>
      <c r="L172" s="5"/>
      <c r="M172" s="5"/>
      <c r="N172" s="5"/>
      <c r="O172" s="5"/>
      <c r="P172" s="5"/>
      <c r="Q172" s="5"/>
      <c r="R172" s="5"/>
      <c r="S172" s="5"/>
      <c r="T172" s="5"/>
      <c r="U172" s="5"/>
      <c r="V172" s="5"/>
    </row>
    <row r="173" spans="1:22" ht="12.75" customHeight="1">
      <c r="A173" s="251"/>
      <c r="B173" s="492" t="str">
        <f>VLOOKUP(B221,SETUP!$A$2:$C$85,2,TRUE)</f>
        <v>---</v>
      </c>
      <c r="C173" s="409"/>
      <c r="D173" s="378"/>
      <c r="E173" s="492" t="str">
        <f>VLOOKUP(E221,SETUP!$A$127:$C$146,2,TRUE)</f>
        <v>---</v>
      </c>
      <c r="F173" s="492" t="str">
        <f>VLOOKUP(G221,SETUP!$A$88:$C$124,2,TRUE)</f>
        <v>---</v>
      </c>
      <c r="G173" s="326"/>
      <c r="H173" s="565">
        <f>(VLOOKUP(B221,SETUP!$A$2:$C$85,3,TRUE)*(((VLOOKUP(E221,SETUP!$A$127:$C$146,3,TRUE)*(VLOOKUP(G221,SETUP!$A$88:$C$124,3,TRUE)))))*C173*(K1+(D173/4)))*(IF(K76="no",1,IF(K76="si",2)))</f>
        <v>0</v>
      </c>
      <c r="I173" s="403"/>
      <c r="J173" s="393"/>
      <c r="K173" s="320"/>
      <c r="L173" s="5"/>
      <c r="M173" s="5"/>
      <c r="N173" s="5"/>
      <c r="O173" s="5"/>
      <c r="P173" s="5"/>
      <c r="Q173" s="5"/>
      <c r="R173" s="5"/>
      <c r="S173" s="5"/>
      <c r="T173" s="5"/>
      <c r="U173" s="5"/>
      <c r="V173" s="5"/>
    </row>
    <row r="174" spans="1:22" ht="12.75" customHeight="1">
      <c r="A174" s="359"/>
      <c r="B174" s="492" t="str">
        <f>VLOOKUP(B222,SETUP!$A$2:$C$85,2,TRUE)</f>
        <v>---</v>
      </c>
      <c r="C174" s="409"/>
      <c r="D174" s="378"/>
      <c r="E174" s="492" t="str">
        <f>VLOOKUP(E222,SETUP!$A$127:$C$146,2,TRUE)</f>
        <v>---</v>
      </c>
      <c r="F174" s="492" t="str">
        <f>VLOOKUP(G222,SETUP!$A$88:$C$124,2,TRUE)</f>
        <v>---</v>
      </c>
      <c r="G174" s="376"/>
      <c r="H174" s="565">
        <f>(VLOOKUP(B222,SETUP!$A$2:$C$85,3,TRUE)*(((VLOOKUP(E222,SETUP!$A$127:$C$146,3,TRUE)*(VLOOKUP(G222,SETUP!$A$88:$C$124,3,TRUE)))))*C174*(K1+(D174/4)))*(IF(K76="no",1,IF(K76="si",2)))</f>
        <v>0</v>
      </c>
      <c r="I174" s="403"/>
      <c r="J174" s="393"/>
      <c r="K174" s="320"/>
      <c r="L174" s="5"/>
      <c r="M174" s="5"/>
      <c r="N174" s="5"/>
      <c r="O174" s="5"/>
      <c r="P174" s="5"/>
      <c r="Q174" s="5"/>
      <c r="R174" s="5"/>
      <c r="S174" s="5"/>
      <c r="T174" s="5"/>
      <c r="U174" s="5"/>
      <c r="V174" s="5"/>
    </row>
    <row r="175" spans="1:22" ht="12.75" customHeight="1">
      <c r="A175" s="359"/>
      <c r="B175" s="492" t="str">
        <f>VLOOKUP(B223,SETUP!$A$2:$C$85,2,TRUE)</f>
        <v>---</v>
      </c>
      <c r="C175" s="409"/>
      <c r="D175" s="378"/>
      <c r="E175" s="492" t="str">
        <f>VLOOKUP(E223,SETUP!$A$127:$C$146,2,TRUE)</f>
        <v>---</v>
      </c>
      <c r="F175" s="492" t="str">
        <f>VLOOKUP(G223,SETUP!$A$88:$C$124,2,TRUE)</f>
        <v>---</v>
      </c>
      <c r="G175" s="326"/>
      <c r="H175" s="565">
        <f>(VLOOKUP(B223,SETUP!$A$2:$C$85,3,TRUE)*(((VLOOKUP(E223,SETUP!$A$127:$C$146,3,TRUE)*(VLOOKUP(G223,SETUP!$A$88:$C$124,3,TRUE)))))*C175*(K1+(D175/4)))*(IF(K76="no",1,IF(K76="si",2)))</f>
        <v>0</v>
      </c>
      <c r="I175" s="403"/>
      <c r="J175" s="393"/>
      <c r="K175" s="320"/>
      <c r="L175" s="5"/>
      <c r="M175" s="5"/>
      <c r="N175" s="5"/>
      <c r="O175" s="5"/>
      <c r="P175" s="5"/>
      <c r="Q175" s="5"/>
      <c r="R175" s="5"/>
      <c r="S175" s="5"/>
      <c r="T175" s="5"/>
      <c r="U175" s="5"/>
      <c r="V175" s="5"/>
    </row>
    <row r="176" spans="1:22" ht="12.75" customHeight="1" thickBot="1">
      <c r="A176" s="251"/>
      <c r="B176" s="492" t="str">
        <f>VLOOKUP(B224,SETUP!$A$2:$C$85,2,TRUE)</f>
        <v>---</v>
      </c>
      <c r="C176" s="409"/>
      <c r="D176" s="378"/>
      <c r="E176" s="492" t="str">
        <f>VLOOKUP(E224,SETUP!$A$127:$C$146,2,TRUE)</f>
        <v>---</v>
      </c>
      <c r="F176" s="492" t="str">
        <f>VLOOKUP(G224,SETUP!$A$88:$C$124,2,TRUE)</f>
        <v>---</v>
      </c>
      <c r="G176" s="411"/>
      <c r="H176" s="565">
        <f>(VLOOKUP(B224,SETUP!$A$2:$C$85,3,TRUE)*(((VLOOKUP(E224,SETUP!$A$127:$C$146,3,TRUE)*(VLOOKUP(G224,SETUP!$A$88:$C$124,3,TRUE)))))*C176*(K1+(D176/4)))*(IF(K76="no",1,IF(K76="si",2)))</f>
        <v>0</v>
      </c>
      <c r="I176" s="405"/>
      <c r="J176" s="406"/>
      <c r="K176" s="397"/>
      <c r="L176" s="5"/>
      <c r="M176" s="5"/>
      <c r="N176" s="5"/>
      <c r="O176" s="5"/>
      <c r="P176" s="5"/>
      <c r="Q176" s="5"/>
      <c r="R176" s="5"/>
      <c r="S176" s="5"/>
      <c r="T176" s="5"/>
      <c r="U176" s="5"/>
      <c r="V176" s="5"/>
    </row>
    <row r="177" spans="1:22" ht="12.75" customHeight="1">
      <c r="A177" s="721" t="s">
        <v>641</v>
      </c>
      <c r="B177" s="487"/>
      <c r="C177" s="762" t="s">
        <v>364</v>
      </c>
      <c r="D177" s="767" t="s">
        <v>691</v>
      </c>
      <c r="E177" s="491" t="s">
        <v>692</v>
      </c>
      <c r="F177" s="562" t="s">
        <v>374</v>
      </c>
      <c r="G177" s="562" t="s">
        <v>517</v>
      </c>
      <c r="H177" s="755" t="s">
        <v>375</v>
      </c>
      <c r="I177" s="488" t="s">
        <v>518</v>
      </c>
      <c r="J177" s="489"/>
      <c r="K177" s="756" t="s">
        <v>498</v>
      </c>
      <c r="L177" s="5"/>
      <c r="M177" s="5"/>
      <c r="N177" s="5"/>
      <c r="O177" s="5"/>
      <c r="P177" s="5"/>
      <c r="Q177" s="5"/>
      <c r="R177" s="5"/>
      <c r="S177" s="5"/>
      <c r="T177" s="5"/>
      <c r="U177" s="5"/>
      <c r="V177" s="5"/>
    </row>
    <row r="178" spans="1:22" ht="12.75" customHeight="1">
      <c r="A178" s="763" t="s">
        <v>642</v>
      </c>
      <c r="B178" s="492" t="str">
        <f>VLOOKUP(I192,SETUP!$A$166:$E$213,2,TRUE)</f>
        <v>---</v>
      </c>
      <c r="C178" s="568">
        <f>FLOOR((IF(E178="normale (Eq=1)",D178/((VLOOKUP(I192,SETUP!$A$166:$E$213,5,TRUE))*K1)))+(IF(E178="buona (Eq=2)",D178/((VLOOKUP(I192,SETUP!$A$166:$E$213,5,TRUE))*2/3*K1)))+(IF(E178="eccellente (Eq=3)",D178/((VLOOKUP(I192,SETUP!$A$166:$E$213,5,TRUE))*1/3*K1))),0.01)</f>
        <v>0</v>
      </c>
      <c r="D178" s="412"/>
      <c r="E178" s="479" t="str">
        <f>VLOOKUP(I220,SETUP!$A$317:$B$321,2,TRUE)</f>
        <v>---</v>
      </c>
      <c r="F178" s="569">
        <f>VLOOKUP(I192,SETUP!$A$166:$E$213,3,TRUE)*D178</f>
        <v>0</v>
      </c>
      <c r="G178" s="563">
        <f>VLOOKUP(I192,SETUP!$A$166:$E$213,4,TRUE)</f>
        <v>0</v>
      </c>
      <c r="H178" s="564">
        <f>CEILING(IF(C178=0,0,IF(I178="stesso feudo",0,IF(I178="città stessa nazione",F178/71*(24+5),IF(I178="villaggio stessa nazione",F178/64*(31+5),IF(I178="città altra nazione",F178/64*(31+5+11),IF(I178="villaggio altra nazione",F178/47.5*(47.5+5+11))))))),0.01)</f>
        <v>0</v>
      </c>
      <c r="I178" s="479" t="str">
        <f>VLOOKUP(I198,SETUP!$A$216:$B$222,2,TRUE)</f>
        <v>---</v>
      </c>
      <c r="J178" s="479"/>
      <c r="K178" s="565">
        <f>(C178*(170*K1))+F178+H178</f>
        <v>0</v>
      </c>
      <c r="L178" s="5"/>
      <c r="M178" s="5"/>
      <c r="N178" s="5"/>
      <c r="O178" s="5"/>
      <c r="P178" s="5"/>
      <c r="Q178" s="5"/>
      <c r="R178" s="5"/>
      <c r="S178" s="5"/>
      <c r="T178" s="5"/>
      <c r="U178" s="5"/>
      <c r="V178" s="5"/>
    </row>
    <row r="179" spans="1:22" ht="12.75" customHeight="1">
      <c r="A179" s="764" t="s">
        <v>542</v>
      </c>
      <c r="B179" s="492" t="str">
        <f>VLOOKUP(I193,SETUP!$A$166:$E$213,2,TRUE)</f>
        <v>---</v>
      </c>
      <c r="C179" s="570">
        <f>FLOOR((IF(E179="normale (Eq=1)",D179/((VLOOKUP(I193,SETUP!$A$166:$E$213,5,TRUE))*K1)))+(IF(E179="buona (Eq=2)",D179/((VLOOKUP(I193,SETUP!$A$166:$E$213,5,TRUE))*2/3*K1)))+(IF(E179="eccellente (Eq=3)",D179/((VLOOKUP(I193,SETUP!$A$166:$E$213,5,TRUE))*1/3*K1))),0.01)</f>
        <v>0</v>
      </c>
      <c r="D179" s="412"/>
      <c r="E179" s="479" t="str">
        <f>VLOOKUP(I221,SETUP!$A$317:$B$321,2,TRUE)</f>
        <v>---</v>
      </c>
      <c r="F179" s="569">
        <f>VLOOKUP(I193,SETUP!$A$166:$E$213,3,TRUE)*D179</f>
        <v>0</v>
      </c>
      <c r="G179" s="563">
        <f>VLOOKUP(I193,SETUP!$A$166:$E$213,4,TRUE)</f>
        <v>0</v>
      </c>
      <c r="H179" s="564">
        <f>CEILING(IF(C179=0,0,IF(I179="stesso feudo",0,IF(I179="città stessa nazione",F179/71*(24+5),IF(I179="villaggio stessa nazione",F179/64*(31+5),IF(I179="città altra nazione",F179/64*(31+5+11),IF(I179="villaggio altra nazione",F179/47.5*(47.5+5+11))))))),0.01)</f>
        <v>0</v>
      </c>
      <c r="I179" s="479" t="str">
        <f>VLOOKUP(I199,SETUP!$A$216:$B$222,2,TRUE)</f>
        <v>---</v>
      </c>
      <c r="J179" s="479"/>
      <c r="K179" s="565">
        <f>(C179*(170*K1))+F179+H179</f>
        <v>0</v>
      </c>
      <c r="L179" s="5"/>
      <c r="M179" s="5"/>
      <c r="N179" s="5"/>
      <c r="O179" s="5"/>
      <c r="P179" s="5"/>
      <c r="Q179" s="5"/>
      <c r="R179" s="5"/>
      <c r="S179" s="5"/>
      <c r="T179" s="5"/>
      <c r="U179" s="5"/>
      <c r="V179" s="5"/>
    </row>
    <row r="180" spans="1:22" ht="12.75" customHeight="1">
      <c r="A180" s="763" t="s">
        <v>543</v>
      </c>
      <c r="B180" s="479" t="str">
        <f>VLOOKUP(I194,SETUP!$A$166:$E$213,2,TRUE)</f>
        <v>---</v>
      </c>
      <c r="C180" s="570">
        <f>FLOOR((IF(E180="normale (Eq=1)",D180/((VLOOKUP(I194,SETUP!$A$166:$E$213,5,TRUE))*K1)))+(IF(E180="buona (Eq=2)",D180/((VLOOKUP(I194,SETUP!$A$166:$E$213,5,TRUE))*2/3*K1)))+(IF(E180="eccellente (Eq=3)",D180/((VLOOKUP(I194,SETUP!$A$166:$E$213,5,TRUE))*1/3*K1))),0.01)</f>
        <v>0</v>
      </c>
      <c r="D180" s="414"/>
      <c r="E180" s="479" t="str">
        <f>VLOOKUP(I222,SETUP!$A$317:$B$321,2,TRUE)</f>
        <v>---</v>
      </c>
      <c r="F180" s="571">
        <f>VLOOKUP(I194,SETUP!$A$166:$E$213,3,TRUE)*D180</f>
        <v>0</v>
      </c>
      <c r="G180" s="556">
        <f>VLOOKUP(I194,SETUP!$A$166:$E$213,4,TRUE)</f>
        <v>0</v>
      </c>
      <c r="H180" s="564">
        <f>CEILING(IF(C180=0,0,IF(I180="stesso feudo",0,IF(I180="città stessa nazione",F180/71*(24+5),IF(I180="villaggio stessa nazione",F180/64*(31+5),IF(I180="città altra nazione",F180/64*(31+5+11),IF(I180="villaggio altra nazione",F180/47.5*(47.5+5+11))))))),0.01)</f>
        <v>0</v>
      </c>
      <c r="I180" s="479" t="str">
        <f>VLOOKUP(I200,SETUP!$A$216:$B$222,2,TRUE)</f>
        <v>---</v>
      </c>
      <c r="J180" s="479"/>
      <c r="K180" s="565">
        <f>(C180*(170*K1))+F180+H180</f>
        <v>0</v>
      </c>
      <c r="L180" s="5"/>
      <c r="M180" s="5"/>
      <c r="N180" s="5"/>
      <c r="O180" s="5"/>
      <c r="P180" s="5"/>
      <c r="Q180" s="5"/>
      <c r="R180" s="5"/>
      <c r="S180" s="5"/>
      <c r="T180" s="5"/>
      <c r="U180" s="5"/>
      <c r="V180" s="5"/>
    </row>
    <row r="181" spans="1:22" ht="12.75" customHeight="1">
      <c r="A181" s="765" t="s">
        <v>643</v>
      </c>
      <c r="B181" s="479" t="str">
        <f>VLOOKUP(I195,SETUP!$A$166:$E$213,2,TRUE)</f>
        <v>---</v>
      </c>
      <c r="C181" s="570">
        <f>FLOOR((IF(E181="normale (Eq=1)",D181/((VLOOKUP(I195,SETUP!$A$166:$E$213,5,TRUE))*K1)))+(IF(E181="buona (Eq=2)",D181/((VLOOKUP(I195,SETUP!$A$166:$E$213,5,TRUE))*2/3*K1)))+(IF(E181="eccellente (Eq=3)",D181/((VLOOKUP(I195,SETUP!$A$166:$E$213,5,TRUE))*1/3*K1))),0.01)</f>
        <v>0</v>
      </c>
      <c r="D181" s="414"/>
      <c r="E181" s="479" t="str">
        <f>VLOOKUP(I223,SETUP!$A$317:$B$321,2,TRUE)</f>
        <v>---</v>
      </c>
      <c r="F181" s="571">
        <f>VLOOKUP(I195,SETUP!$A$166:$E$213,3,TRUE)*D181</f>
        <v>0</v>
      </c>
      <c r="G181" s="556">
        <f>VLOOKUP(I195,SETUP!$A$166:$E$213,4,TRUE)</f>
        <v>0</v>
      </c>
      <c r="H181" s="564">
        <f>CEILING(IF(C181=0,0,IF(I181="stesso feudo",0,IF(I181="città stessa nazione",F181/71*(24+5),IF(I181="villaggio stessa nazione",F181/64*(31+5),IF(I181="città altra nazione",F181/64*(31+5+11),IF(I181="villaggio altra nazione",F181/47.5*(47.5+5+11))))))),0.01)</f>
        <v>0</v>
      </c>
      <c r="I181" s="479" t="str">
        <f>VLOOKUP(I201,SETUP!$A$216:$B$222,2,TRUE)</f>
        <v>---</v>
      </c>
      <c r="J181" s="479"/>
      <c r="K181" s="565">
        <f>(C181*(170*K1))+F181+H181</f>
        <v>0</v>
      </c>
      <c r="L181" s="5"/>
      <c r="M181" s="5"/>
      <c r="N181" s="5"/>
      <c r="O181" s="5"/>
      <c r="P181" s="5"/>
      <c r="Q181" s="5"/>
      <c r="R181" s="5"/>
      <c r="S181" s="5"/>
      <c r="T181" s="5"/>
      <c r="U181" s="5"/>
      <c r="V181" s="5"/>
    </row>
    <row r="182" spans="1:22" ht="12.75" customHeight="1">
      <c r="A182" s="766"/>
      <c r="B182" s="490" t="str">
        <f>VLOOKUP(I196,SETUP!$A$166:$E$213,2,TRUE)</f>
        <v>---</v>
      </c>
      <c r="C182" s="573">
        <f>FLOOR((IF(E182="normale (Eq=1)",D182/((VLOOKUP(I196,SETUP!$A$166:$E$213,5,TRUE))*K1)))+(IF(E182="buona (Eq=2)",D182/((VLOOKUP(I196,SETUP!$A$166:$E$213,5,TRUE))*2/3*K1)))+(IF(E182="eccellente (Eq=3)",D182/((VLOOKUP(I196,SETUP!$A$166:$E$213,5,TRUE))*1/3*K1))),0.01)</f>
        <v>0</v>
      </c>
      <c r="D182" s="415"/>
      <c r="E182" s="490" t="str">
        <f>VLOOKUP(I224,SETUP!$A$317:$B$321,2,TRUE)</f>
        <v>---</v>
      </c>
      <c r="F182" s="574">
        <f>VLOOKUP(I196,SETUP!$A$166:$E$213,3,TRUE)*D182</f>
        <v>0</v>
      </c>
      <c r="G182" s="572">
        <f>VLOOKUP(I196,SETUP!$A$166:$E$213,4,TRUE)</f>
        <v>0</v>
      </c>
      <c r="H182" s="757">
        <f>CEILING(IF(C182=0,0,IF(I182="stesso feudo",0,IF(I182="città stessa nazione",F182/71*(24+5),IF(I182="villaggio stessa nazione",F182/64*(31+5),IF(I182="città altra nazione",F182/64*(31+5+11),IF(I182="villaggio altra nazione",F182/47.5*(47.5+5+11))))))),0.01)</f>
        <v>0</v>
      </c>
      <c r="I182" s="490" t="str">
        <f>VLOOKUP(I202,SETUP!$A$216:$B$222,2,TRUE)</f>
        <v>---</v>
      </c>
      <c r="J182" s="490"/>
      <c r="K182" s="758">
        <f>(C182*(170*K1))+F182+H182</f>
        <v>0</v>
      </c>
      <c r="L182" s="5"/>
      <c r="M182" s="5"/>
      <c r="N182" s="5"/>
      <c r="O182" s="5"/>
      <c r="P182" s="5"/>
      <c r="Q182" s="5"/>
      <c r="R182" s="5"/>
      <c r="S182" s="5"/>
      <c r="T182" s="5"/>
      <c r="U182" s="5"/>
      <c r="V182" s="5"/>
    </row>
    <row r="183" spans="1:22" ht="12.75" customHeight="1">
      <c r="A183" s="273"/>
      <c r="B183" s="416"/>
      <c r="C183" s="413"/>
      <c r="D183" s="417"/>
      <c r="E183" s="418"/>
      <c r="F183" s="419"/>
      <c r="G183" s="759"/>
      <c r="H183" s="760"/>
      <c r="I183" s="761"/>
      <c r="J183" s="650"/>
      <c r="K183" s="650"/>
      <c r="L183" s="5"/>
      <c r="M183" s="5"/>
      <c r="N183" s="5"/>
      <c r="O183" s="5"/>
      <c r="P183" s="5"/>
      <c r="Q183" s="5"/>
      <c r="R183" s="5"/>
      <c r="S183" s="5"/>
      <c r="T183" s="5"/>
      <c r="U183" s="5"/>
      <c r="V183" s="5"/>
    </row>
    <row r="184" ht="12.75"/>
    <row r="185" spans="1:11" ht="12.75">
      <c r="A185" s="447" t="s">
        <v>497</v>
      </c>
      <c r="B185" s="446"/>
      <c r="C185" s="446"/>
      <c r="D185" s="446"/>
      <c r="E185" s="446"/>
      <c r="F185" s="446"/>
      <c r="G185" s="446"/>
      <c r="H185" s="448" t="s">
        <v>183</v>
      </c>
      <c r="I185" s="448" t="s">
        <v>171</v>
      </c>
      <c r="J185" s="448"/>
      <c r="K185" s="448"/>
    </row>
    <row r="186" spans="1:13" ht="12.75">
      <c r="A186" s="448" t="s">
        <v>177</v>
      </c>
      <c r="B186" s="448" t="s">
        <v>92</v>
      </c>
      <c r="C186" s="446"/>
      <c r="D186" s="448" t="s">
        <v>178</v>
      </c>
      <c r="E186" s="448" t="s">
        <v>96</v>
      </c>
      <c r="F186" s="448" t="s">
        <v>179</v>
      </c>
      <c r="G186" s="448" t="s">
        <v>97</v>
      </c>
      <c r="H186" s="446">
        <v>1</v>
      </c>
      <c r="I186" s="446">
        <f>+H186</f>
        <v>1</v>
      </c>
      <c r="J186" s="448" t="s">
        <v>327</v>
      </c>
      <c r="K186" s="448" t="s">
        <v>11</v>
      </c>
      <c r="L186" s="780"/>
      <c r="M186" s="780"/>
    </row>
    <row r="187" spans="1:13" ht="12.75">
      <c r="A187" s="446">
        <v>1</v>
      </c>
      <c r="B187" s="446">
        <f>+A187</f>
        <v>1</v>
      </c>
      <c r="C187" s="446"/>
      <c r="D187" s="446">
        <v>1</v>
      </c>
      <c r="E187" s="446">
        <f>+D187</f>
        <v>1</v>
      </c>
      <c r="F187" s="446">
        <v>1</v>
      </c>
      <c r="G187" s="446">
        <f>+F187</f>
        <v>1</v>
      </c>
      <c r="H187" s="448" t="s">
        <v>180</v>
      </c>
      <c r="I187" s="448" t="s">
        <v>328</v>
      </c>
      <c r="J187" s="446">
        <v>1</v>
      </c>
      <c r="K187" s="446">
        <f>+J187</f>
        <v>1</v>
      </c>
      <c r="L187" s="780"/>
      <c r="M187" s="780"/>
    </row>
    <row r="188" spans="1:13" ht="12.75">
      <c r="A188" s="446">
        <v>1</v>
      </c>
      <c r="B188" s="446">
        <f>IF(A188=2,B187,A188)</f>
        <v>1</v>
      </c>
      <c r="C188" s="446"/>
      <c r="D188" s="446">
        <v>1</v>
      </c>
      <c r="E188" s="446">
        <f aca="true" t="shared" si="1" ref="E188:E212">IF(D188=2,E187,D188)</f>
        <v>1</v>
      </c>
      <c r="F188" s="446">
        <v>1</v>
      </c>
      <c r="G188" s="446">
        <f>IF(F188=2,G187,F188)</f>
        <v>1</v>
      </c>
      <c r="H188" s="446">
        <v>1</v>
      </c>
      <c r="I188" s="446">
        <f>+H188</f>
        <v>1</v>
      </c>
      <c r="J188" s="446">
        <v>1</v>
      </c>
      <c r="K188" s="446">
        <f aca="true" t="shared" si="2" ref="K188:K206">IF(J188=2,K187,J188)</f>
        <v>1</v>
      </c>
      <c r="L188" s="780"/>
      <c r="M188" s="780"/>
    </row>
    <row r="189" spans="1:13" ht="12.75">
      <c r="A189" s="446">
        <v>1</v>
      </c>
      <c r="B189" s="446">
        <f>IF(A189=2,B188,A189)</f>
        <v>1</v>
      </c>
      <c r="C189" s="446"/>
      <c r="D189" s="446">
        <v>1</v>
      </c>
      <c r="E189" s="446">
        <f t="shared" si="1"/>
        <v>1</v>
      </c>
      <c r="F189" s="446">
        <v>1</v>
      </c>
      <c r="G189" s="446">
        <f>IF(F189=2,G188,F189)</f>
        <v>1</v>
      </c>
      <c r="H189" s="448" t="s">
        <v>184</v>
      </c>
      <c r="I189" s="448" t="s">
        <v>274</v>
      </c>
      <c r="J189" s="446">
        <v>1</v>
      </c>
      <c r="K189" s="446">
        <f t="shared" si="2"/>
        <v>1</v>
      </c>
      <c r="L189" s="780"/>
      <c r="M189" s="780"/>
    </row>
    <row r="190" spans="1:13" ht="12.75">
      <c r="A190" s="446">
        <v>1</v>
      </c>
      <c r="B190" s="446">
        <f>IF(A190=2,B189,A190)</f>
        <v>1</v>
      </c>
      <c r="C190" s="446"/>
      <c r="D190" s="446">
        <v>1</v>
      </c>
      <c r="E190" s="446">
        <f t="shared" si="1"/>
        <v>1</v>
      </c>
      <c r="F190" s="446">
        <v>1</v>
      </c>
      <c r="G190" s="446">
        <f>IF(F190=2,G189,F190)</f>
        <v>1</v>
      </c>
      <c r="H190" s="446">
        <v>1</v>
      </c>
      <c r="I190" s="446">
        <f>+H190</f>
        <v>1</v>
      </c>
      <c r="J190" s="446">
        <v>1</v>
      </c>
      <c r="K190" s="446">
        <f t="shared" si="2"/>
        <v>1</v>
      </c>
      <c r="L190" s="780"/>
      <c r="M190" s="780"/>
    </row>
    <row r="191" spans="1:13" ht="12.75">
      <c r="A191" s="446">
        <v>1</v>
      </c>
      <c r="B191" s="446">
        <f>IF(A191=2,B190,A191)</f>
        <v>1</v>
      </c>
      <c r="C191" s="446"/>
      <c r="D191" s="446">
        <v>1</v>
      </c>
      <c r="E191" s="446">
        <f t="shared" si="1"/>
        <v>1</v>
      </c>
      <c r="F191" s="446">
        <v>1</v>
      </c>
      <c r="G191" s="446">
        <f>IF(F191=2,G190,F191)</f>
        <v>1</v>
      </c>
      <c r="H191" s="448" t="s">
        <v>185</v>
      </c>
      <c r="I191" s="448" t="s">
        <v>135</v>
      </c>
      <c r="J191" s="446">
        <v>1</v>
      </c>
      <c r="K191" s="446">
        <f t="shared" si="2"/>
        <v>1</v>
      </c>
      <c r="L191" s="780"/>
      <c r="M191" s="780"/>
    </row>
    <row r="192" spans="1:13" ht="12.75">
      <c r="A192" s="446">
        <v>1</v>
      </c>
      <c r="B192" s="446">
        <f>IF(A192=2,B191,A192)</f>
        <v>1</v>
      </c>
      <c r="C192" s="446"/>
      <c r="D192" s="446">
        <v>1</v>
      </c>
      <c r="E192" s="446">
        <f t="shared" si="1"/>
        <v>1</v>
      </c>
      <c r="F192" s="446">
        <v>1</v>
      </c>
      <c r="G192" s="446">
        <f>IF(F192=2,G191,F192)</f>
        <v>1</v>
      </c>
      <c r="H192" s="446">
        <v>1</v>
      </c>
      <c r="I192" s="446">
        <f>+H192</f>
        <v>1</v>
      </c>
      <c r="J192" s="446">
        <v>1</v>
      </c>
      <c r="K192" s="446">
        <f t="shared" si="2"/>
        <v>1</v>
      </c>
      <c r="L192" s="780"/>
      <c r="M192" s="780"/>
    </row>
    <row r="193" spans="1:13" ht="12.75">
      <c r="A193" s="446">
        <v>1</v>
      </c>
      <c r="B193" s="446">
        <f aca="true" t="shared" si="3" ref="B193:B212">IF(A193=2,B192,A193)</f>
        <v>1</v>
      </c>
      <c r="C193" s="446"/>
      <c r="D193" s="446">
        <v>1</v>
      </c>
      <c r="E193" s="446">
        <f t="shared" si="1"/>
        <v>1</v>
      </c>
      <c r="F193" s="446">
        <v>1</v>
      </c>
      <c r="G193" s="446">
        <f aca="true" t="shared" si="4" ref="G193:G212">IF(F193=2,G192,F193)</f>
        <v>1</v>
      </c>
      <c r="H193" s="446">
        <v>1</v>
      </c>
      <c r="I193" s="446">
        <f>IF(H193=2,I192,H193)</f>
        <v>1</v>
      </c>
      <c r="J193" s="446">
        <v>1</v>
      </c>
      <c r="K193" s="446">
        <f t="shared" si="2"/>
        <v>1</v>
      </c>
      <c r="L193" s="780"/>
      <c r="M193" s="780"/>
    </row>
    <row r="194" spans="1:13" ht="12.75">
      <c r="A194" s="446">
        <v>1</v>
      </c>
      <c r="B194" s="446">
        <f t="shared" si="3"/>
        <v>1</v>
      </c>
      <c r="C194" s="446"/>
      <c r="D194" s="446">
        <v>1</v>
      </c>
      <c r="E194" s="446">
        <f t="shared" si="1"/>
        <v>1</v>
      </c>
      <c r="F194" s="446">
        <v>1</v>
      </c>
      <c r="G194" s="446">
        <f t="shared" si="4"/>
        <v>1</v>
      </c>
      <c r="H194" s="446">
        <v>1</v>
      </c>
      <c r="I194" s="446">
        <f>IF(H194=2,I193,H194)</f>
        <v>1</v>
      </c>
      <c r="J194" s="446">
        <v>1</v>
      </c>
      <c r="K194" s="446">
        <f t="shared" si="2"/>
        <v>1</v>
      </c>
      <c r="L194" s="780"/>
      <c r="M194" s="780"/>
    </row>
    <row r="195" spans="1:13" ht="12.75">
      <c r="A195" s="446">
        <v>1</v>
      </c>
      <c r="B195" s="446">
        <f t="shared" si="3"/>
        <v>1</v>
      </c>
      <c r="C195" s="446"/>
      <c r="D195" s="446">
        <v>1</v>
      </c>
      <c r="E195" s="446">
        <f t="shared" si="1"/>
        <v>1</v>
      </c>
      <c r="F195" s="446">
        <v>1</v>
      </c>
      <c r="G195" s="446">
        <f t="shared" si="4"/>
        <v>1</v>
      </c>
      <c r="H195" s="446">
        <v>1</v>
      </c>
      <c r="I195" s="446">
        <f>IF(H195=2,I194,H195)</f>
        <v>1</v>
      </c>
      <c r="J195" s="446">
        <v>1</v>
      </c>
      <c r="K195" s="446">
        <f t="shared" si="2"/>
        <v>1</v>
      </c>
      <c r="L195" s="780"/>
      <c r="M195" s="780"/>
    </row>
    <row r="196" spans="1:13" ht="12.75">
      <c r="A196" s="446">
        <v>1</v>
      </c>
      <c r="B196" s="446">
        <f t="shared" si="3"/>
        <v>1</v>
      </c>
      <c r="C196" s="446"/>
      <c r="D196" s="446">
        <v>1</v>
      </c>
      <c r="E196" s="446">
        <f t="shared" si="1"/>
        <v>1</v>
      </c>
      <c r="F196" s="446">
        <v>1</v>
      </c>
      <c r="G196" s="446">
        <f t="shared" si="4"/>
        <v>1</v>
      </c>
      <c r="H196" s="446">
        <v>1</v>
      </c>
      <c r="I196" s="446">
        <f>IF(H196=2,I195,H196)</f>
        <v>1</v>
      </c>
      <c r="J196" s="446">
        <v>1</v>
      </c>
      <c r="K196" s="446">
        <f t="shared" si="2"/>
        <v>1</v>
      </c>
      <c r="L196" s="780"/>
      <c r="M196" s="780"/>
    </row>
    <row r="197" spans="1:13" ht="12.75">
      <c r="A197" s="446">
        <v>1</v>
      </c>
      <c r="B197" s="446">
        <f t="shared" si="3"/>
        <v>1</v>
      </c>
      <c r="C197" s="446"/>
      <c r="D197" s="446">
        <v>1</v>
      </c>
      <c r="E197" s="446">
        <f t="shared" si="1"/>
        <v>1</v>
      </c>
      <c r="F197" s="446">
        <v>1</v>
      </c>
      <c r="G197" s="446">
        <f t="shared" si="4"/>
        <v>1</v>
      </c>
      <c r="H197" s="448" t="s">
        <v>186</v>
      </c>
      <c r="I197" s="448" t="s">
        <v>172</v>
      </c>
      <c r="J197" s="446">
        <v>1</v>
      </c>
      <c r="K197" s="446">
        <f t="shared" si="2"/>
        <v>1</v>
      </c>
      <c r="L197" s="780"/>
      <c r="M197" s="780"/>
    </row>
    <row r="198" spans="1:13" ht="12.75">
      <c r="A198" s="446">
        <v>1</v>
      </c>
      <c r="B198" s="446">
        <f t="shared" si="3"/>
        <v>1</v>
      </c>
      <c r="C198" s="446"/>
      <c r="D198" s="446">
        <v>1</v>
      </c>
      <c r="E198" s="446">
        <f t="shared" si="1"/>
        <v>1</v>
      </c>
      <c r="F198" s="446">
        <v>1</v>
      </c>
      <c r="G198" s="446">
        <f t="shared" si="4"/>
        <v>1</v>
      </c>
      <c r="H198" s="446">
        <v>1</v>
      </c>
      <c r="I198" s="446">
        <f>+H198</f>
        <v>1</v>
      </c>
      <c r="J198" s="446">
        <v>1</v>
      </c>
      <c r="K198" s="446">
        <f t="shared" si="2"/>
        <v>1</v>
      </c>
      <c r="L198" s="780"/>
      <c r="M198" s="780"/>
    </row>
    <row r="199" spans="1:13" ht="12.75">
      <c r="A199" s="446">
        <v>1</v>
      </c>
      <c r="B199" s="446">
        <f t="shared" si="3"/>
        <v>1</v>
      </c>
      <c r="C199" s="446"/>
      <c r="D199" s="446">
        <v>1</v>
      </c>
      <c r="E199" s="446">
        <f t="shared" si="1"/>
        <v>1</v>
      </c>
      <c r="F199" s="446">
        <v>1</v>
      </c>
      <c r="G199" s="446">
        <f t="shared" si="4"/>
        <v>1</v>
      </c>
      <c r="H199" s="446">
        <v>1</v>
      </c>
      <c r="I199" s="446">
        <f>IF(H199=2,I198,H199)</f>
        <v>1</v>
      </c>
      <c r="J199" s="446">
        <v>1</v>
      </c>
      <c r="K199" s="446">
        <f t="shared" si="2"/>
        <v>1</v>
      </c>
      <c r="L199" s="780"/>
      <c r="M199" s="780"/>
    </row>
    <row r="200" spans="1:13" ht="12.75">
      <c r="A200" s="446">
        <v>1</v>
      </c>
      <c r="B200" s="446">
        <f t="shared" si="3"/>
        <v>1</v>
      </c>
      <c r="C200" s="446"/>
      <c r="D200" s="446">
        <v>1</v>
      </c>
      <c r="E200" s="446">
        <f t="shared" si="1"/>
        <v>1</v>
      </c>
      <c r="F200" s="446">
        <v>1</v>
      </c>
      <c r="G200" s="446">
        <f t="shared" si="4"/>
        <v>1</v>
      </c>
      <c r="H200" s="446">
        <v>1</v>
      </c>
      <c r="I200" s="446">
        <f>IF(H200=2,I199,H200)</f>
        <v>1</v>
      </c>
      <c r="J200" s="446">
        <v>1</v>
      </c>
      <c r="K200" s="446">
        <f t="shared" si="2"/>
        <v>1</v>
      </c>
      <c r="L200" s="780"/>
      <c r="M200" s="780"/>
    </row>
    <row r="201" spans="1:13" ht="12.75">
      <c r="A201" s="446">
        <v>1</v>
      </c>
      <c r="B201" s="446">
        <f t="shared" si="3"/>
        <v>1</v>
      </c>
      <c r="C201" s="446"/>
      <c r="D201" s="446">
        <v>1</v>
      </c>
      <c r="E201" s="446">
        <f t="shared" si="1"/>
        <v>1</v>
      </c>
      <c r="F201" s="446">
        <v>1</v>
      </c>
      <c r="G201" s="446">
        <f t="shared" si="4"/>
        <v>1</v>
      </c>
      <c r="H201" s="446">
        <v>1</v>
      </c>
      <c r="I201" s="446">
        <f>IF(H201=2,I200,H201)</f>
        <v>1</v>
      </c>
      <c r="J201" s="446">
        <v>1</v>
      </c>
      <c r="K201" s="446">
        <f t="shared" si="2"/>
        <v>1</v>
      </c>
      <c r="L201" s="780"/>
      <c r="M201" s="780"/>
    </row>
    <row r="202" spans="1:13" ht="12.75">
      <c r="A202" s="446">
        <v>1</v>
      </c>
      <c r="B202" s="446">
        <f t="shared" si="3"/>
        <v>1</v>
      </c>
      <c r="C202" s="446"/>
      <c r="D202" s="446">
        <v>1</v>
      </c>
      <c r="E202" s="446">
        <f t="shared" si="1"/>
        <v>1</v>
      </c>
      <c r="F202" s="446">
        <v>1</v>
      </c>
      <c r="G202" s="446">
        <f t="shared" si="4"/>
        <v>1</v>
      </c>
      <c r="H202" s="446">
        <v>1</v>
      </c>
      <c r="I202" s="446">
        <f>IF(H202=2,I201,H202)</f>
        <v>1</v>
      </c>
      <c r="J202" s="446">
        <v>1</v>
      </c>
      <c r="K202" s="446">
        <f t="shared" si="2"/>
        <v>1</v>
      </c>
      <c r="L202" s="780"/>
      <c r="M202" s="780"/>
    </row>
    <row r="203" spans="1:13" ht="12.75">
      <c r="A203" s="446">
        <v>1</v>
      </c>
      <c r="B203" s="446">
        <f t="shared" si="3"/>
        <v>1</v>
      </c>
      <c r="C203" s="446"/>
      <c r="D203" s="446">
        <v>1</v>
      </c>
      <c r="E203" s="446">
        <f t="shared" si="1"/>
        <v>1</v>
      </c>
      <c r="F203" s="446">
        <v>1</v>
      </c>
      <c r="G203" s="446">
        <f t="shared" si="4"/>
        <v>1</v>
      </c>
      <c r="H203" s="448" t="s">
        <v>187</v>
      </c>
      <c r="I203" s="448" t="s">
        <v>181</v>
      </c>
      <c r="J203" s="446">
        <v>1</v>
      </c>
      <c r="K203" s="446">
        <f t="shared" si="2"/>
        <v>1</v>
      </c>
      <c r="L203" s="780"/>
      <c r="M203" s="780"/>
    </row>
    <row r="204" spans="1:13" ht="12.75">
      <c r="A204" s="446">
        <v>1</v>
      </c>
      <c r="B204" s="446">
        <f t="shared" si="3"/>
        <v>1</v>
      </c>
      <c r="C204" s="446"/>
      <c r="D204" s="446">
        <v>1</v>
      </c>
      <c r="E204" s="446">
        <f t="shared" si="1"/>
        <v>1</v>
      </c>
      <c r="F204" s="446">
        <v>1</v>
      </c>
      <c r="G204" s="446">
        <f t="shared" si="4"/>
        <v>1</v>
      </c>
      <c r="H204" s="446">
        <v>5</v>
      </c>
      <c r="I204" s="446">
        <f>+H204</f>
        <v>5</v>
      </c>
      <c r="J204" s="446">
        <v>1</v>
      </c>
      <c r="K204" s="446">
        <f t="shared" si="2"/>
        <v>1</v>
      </c>
      <c r="L204" s="780"/>
      <c r="M204" s="780"/>
    </row>
    <row r="205" spans="1:13" ht="12.75">
      <c r="A205" s="446">
        <v>1</v>
      </c>
      <c r="B205" s="446">
        <f t="shared" si="3"/>
        <v>1</v>
      </c>
      <c r="C205" s="446"/>
      <c r="D205" s="446">
        <v>1</v>
      </c>
      <c r="E205" s="446">
        <f t="shared" si="1"/>
        <v>1</v>
      </c>
      <c r="F205" s="446">
        <v>1</v>
      </c>
      <c r="G205" s="446">
        <f t="shared" si="4"/>
        <v>1</v>
      </c>
      <c r="H205" s="448" t="s">
        <v>189</v>
      </c>
      <c r="I205" s="448" t="s">
        <v>25</v>
      </c>
      <c r="J205" s="446">
        <v>1</v>
      </c>
      <c r="K205" s="446">
        <f t="shared" si="2"/>
        <v>1</v>
      </c>
      <c r="L205" s="780"/>
      <c r="M205" s="780"/>
    </row>
    <row r="206" spans="1:13" ht="12.75">
      <c r="A206" s="446">
        <v>1</v>
      </c>
      <c r="B206" s="446">
        <f t="shared" si="3"/>
        <v>1</v>
      </c>
      <c r="C206" s="446"/>
      <c r="D206" s="446">
        <v>1</v>
      </c>
      <c r="E206" s="446">
        <f t="shared" si="1"/>
        <v>1</v>
      </c>
      <c r="F206" s="446">
        <v>1</v>
      </c>
      <c r="G206" s="446">
        <f t="shared" si="4"/>
        <v>1</v>
      </c>
      <c r="H206" s="446">
        <v>1</v>
      </c>
      <c r="I206" s="446">
        <f>+H206</f>
        <v>1</v>
      </c>
      <c r="J206" s="446">
        <v>1</v>
      </c>
      <c r="K206" s="446">
        <f t="shared" si="2"/>
        <v>1</v>
      </c>
      <c r="L206" s="780"/>
      <c r="M206" s="780"/>
    </row>
    <row r="207" spans="1:13" ht="12.75">
      <c r="A207" s="446">
        <v>1</v>
      </c>
      <c r="B207" s="446">
        <f t="shared" si="3"/>
        <v>1</v>
      </c>
      <c r="C207" s="446"/>
      <c r="D207" s="446">
        <v>1</v>
      </c>
      <c r="E207" s="446">
        <f t="shared" si="1"/>
        <v>1</v>
      </c>
      <c r="F207" s="446">
        <v>1</v>
      </c>
      <c r="G207" s="446">
        <f t="shared" si="4"/>
        <v>1</v>
      </c>
      <c r="H207" s="448" t="s">
        <v>206</v>
      </c>
      <c r="I207" s="449" t="s">
        <v>219</v>
      </c>
      <c r="J207" s="446">
        <v>1</v>
      </c>
      <c r="K207" s="446">
        <f>IF(J207=2,K206,J207)</f>
        <v>1</v>
      </c>
      <c r="L207" s="780"/>
      <c r="M207" s="780"/>
    </row>
    <row r="208" spans="1:13" ht="12.75">
      <c r="A208" s="446">
        <v>1</v>
      </c>
      <c r="B208" s="446">
        <f t="shared" si="3"/>
        <v>1</v>
      </c>
      <c r="C208" s="446"/>
      <c r="D208" s="446">
        <v>1</v>
      </c>
      <c r="E208" s="446">
        <f t="shared" si="1"/>
        <v>1</v>
      </c>
      <c r="F208" s="446">
        <v>1</v>
      </c>
      <c r="G208" s="446">
        <f t="shared" si="4"/>
        <v>1</v>
      </c>
      <c r="H208" s="446">
        <v>1</v>
      </c>
      <c r="I208" s="446">
        <f>+H208</f>
        <v>1</v>
      </c>
      <c r="J208" s="446">
        <v>1</v>
      </c>
      <c r="K208" s="446">
        <f>IF(J208=2,K207,J208)</f>
        <v>1</v>
      </c>
      <c r="L208" s="780"/>
      <c r="M208" s="780"/>
    </row>
    <row r="209" spans="1:13" ht="12.75">
      <c r="A209" s="446">
        <v>1</v>
      </c>
      <c r="B209" s="446">
        <f t="shared" si="3"/>
        <v>1</v>
      </c>
      <c r="C209" s="446"/>
      <c r="D209" s="446">
        <v>1</v>
      </c>
      <c r="E209" s="446">
        <f t="shared" si="1"/>
        <v>1</v>
      </c>
      <c r="F209" s="446">
        <v>1</v>
      </c>
      <c r="G209" s="446">
        <f t="shared" si="4"/>
        <v>1</v>
      </c>
      <c r="H209" s="446">
        <v>1</v>
      </c>
      <c r="I209" s="446">
        <f aca="true" t="shared" si="5" ref="I209:I218">IF(H209=2,I208,H209)</f>
        <v>1</v>
      </c>
      <c r="J209" s="448" t="s">
        <v>29</v>
      </c>
      <c r="K209" s="450" t="s">
        <v>523</v>
      </c>
      <c r="L209" s="780"/>
      <c r="M209" s="780"/>
    </row>
    <row r="210" spans="1:13" ht="12.75">
      <c r="A210" s="446">
        <v>1</v>
      </c>
      <c r="B210" s="446">
        <f t="shared" si="3"/>
        <v>1</v>
      </c>
      <c r="C210" s="446"/>
      <c r="D210" s="446">
        <v>1</v>
      </c>
      <c r="E210" s="446">
        <f t="shared" si="1"/>
        <v>1</v>
      </c>
      <c r="F210" s="446">
        <v>1</v>
      </c>
      <c r="G210" s="446">
        <f t="shared" si="4"/>
        <v>1</v>
      </c>
      <c r="H210" s="446">
        <v>1</v>
      </c>
      <c r="I210" s="446">
        <f t="shared" si="5"/>
        <v>1</v>
      </c>
      <c r="J210" s="446">
        <v>1</v>
      </c>
      <c r="K210" s="446">
        <f>+J210</f>
        <v>1</v>
      </c>
      <c r="L210" s="780"/>
      <c r="M210" s="780"/>
    </row>
    <row r="211" spans="1:13" ht="12.75">
      <c r="A211" s="446">
        <v>1</v>
      </c>
      <c r="B211" s="446">
        <f t="shared" si="3"/>
        <v>1</v>
      </c>
      <c r="C211" s="446"/>
      <c r="D211" s="446">
        <v>1</v>
      </c>
      <c r="E211" s="446">
        <f t="shared" si="1"/>
        <v>1</v>
      </c>
      <c r="F211" s="446">
        <v>1</v>
      </c>
      <c r="G211" s="446">
        <f t="shared" si="4"/>
        <v>1</v>
      </c>
      <c r="H211" s="446">
        <v>1</v>
      </c>
      <c r="I211" s="446">
        <f t="shared" si="5"/>
        <v>1</v>
      </c>
      <c r="J211" s="446">
        <v>1</v>
      </c>
      <c r="K211" s="446">
        <f>IF(J211=2,K210,J211)</f>
        <v>1</v>
      </c>
      <c r="L211" s="780"/>
      <c r="M211" s="780"/>
    </row>
    <row r="212" spans="1:13" ht="12.75">
      <c r="A212" s="446">
        <v>1</v>
      </c>
      <c r="B212" s="446">
        <f t="shared" si="3"/>
        <v>1</v>
      </c>
      <c r="C212" s="446"/>
      <c r="D212" s="446">
        <v>1</v>
      </c>
      <c r="E212" s="446">
        <f t="shared" si="1"/>
        <v>1</v>
      </c>
      <c r="F212" s="446">
        <v>1</v>
      </c>
      <c r="G212" s="446">
        <f t="shared" si="4"/>
        <v>1</v>
      </c>
      <c r="H212" s="446">
        <v>1</v>
      </c>
      <c r="I212" s="446">
        <f t="shared" si="5"/>
        <v>1</v>
      </c>
      <c r="J212" s="446">
        <v>1</v>
      </c>
      <c r="K212" s="446">
        <f>IF(J212=2,K211,J212)</f>
        <v>1</v>
      </c>
      <c r="L212" s="780"/>
      <c r="M212" s="780"/>
    </row>
    <row r="213" spans="1:13" ht="12.75">
      <c r="A213" s="446">
        <v>1</v>
      </c>
      <c r="B213" s="446">
        <f aca="true" t="shared" si="6" ref="B213:B224">IF(A213=2,B212,A213)</f>
        <v>1</v>
      </c>
      <c r="C213" s="446"/>
      <c r="D213" s="446">
        <v>1</v>
      </c>
      <c r="E213" s="446">
        <f aca="true" t="shared" si="7" ref="E213:E224">IF(D213=2,E212,D213)</f>
        <v>1</v>
      </c>
      <c r="F213" s="446">
        <v>1</v>
      </c>
      <c r="G213" s="446">
        <f aca="true" t="shared" si="8" ref="G213:G224">IF(F213=2,G212,F213)</f>
        <v>1</v>
      </c>
      <c r="H213" s="446">
        <v>1</v>
      </c>
      <c r="I213" s="446">
        <f t="shared" si="5"/>
        <v>1</v>
      </c>
      <c r="J213" s="446">
        <v>1</v>
      </c>
      <c r="K213" s="446">
        <f>IF(J213=2,K212,J213)</f>
        <v>1</v>
      </c>
      <c r="L213" s="780"/>
      <c r="M213" s="780"/>
    </row>
    <row r="214" spans="1:13" ht="12.75">
      <c r="A214" s="446">
        <v>1</v>
      </c>
      <c r="B214" s="446">
        <f t="shared" si="6"/>
        <v>1</v>
      </c>
      <c r="C214" s="446"/>
      <c r="D214" s="446">
        <v>1</v>
      </c>
      <c r="E214" s="446">
        <f t="shared" si="7"/>
        <v>1</v>
      </c>
      <c r="F214" s="446">
        <v>1</v>
      </c>
      <c r="G214" s="446">
        <f t="shared" si="8"/>
        <v>1</v>
      </c>
      <c r="H214" s="446">
        <v>1</v>
      </c>
      <c r="I214" s="446">
        <f t="shared" si="5"/>
        <v>1</v>
      </c>
      <c r="J214" s="446">
        <v>14</v>
      </c>
      <c r="K214" s="446">
        <f>IF(J214=2,K213,J214)</f>
        <v>14</v>
      </c>
      <c r="L214" s="780"/>
      <c r="M214" s="780"/>
    </row>
    <row r="215" spans="1:13" ht="12.75">
      <c r="A215" s="446">
        <v>1</v>
      </c>
      <c r="B215" s="446">
        <f t="shared" si="6"/>
        <v>1</v>
      </c>
      <c r="C215" s="446"/>
      <c r="D215" s="446">
        <v>1</v>
      </c>
      <c r="E215" s="446">
        <f t="shared" si="7"/>
        <v>1</v>
      </c>
      <c r="F215" s="446">
        <v>1</v>
      </c>
      <c r="G215" s="446">
        <f t="shared" si="8"/>
        <v>1</v>
      </c>
      <c r="H215" s="446">
        <v>1</v>
      </c>
      <c r="I215" s="446">
        <f t="shared" si="5"/>
        <v>1</v>
      </c>
      <c r="J215" s="448" t="s">
        <v>28</v>
      </c>
      <c r="K215" s="446" t="s">
        <v>522</v>
      </c>
      <c r="L215" s="780"/>
      <c r="M215" s="780"/>
    </row>
    <row r="216" spans="1:13" ht="12.75">
      <c r="A216" s="446">
        <v>1</v>
      </c>
      <c r="B216" s="446">
        <f t="shared" si="6"/>
        <v>1</v>
      </c>
      <c r="C216" s="446"/>
      <c r="D216" s="446">
        <v>1</v>
      </c>
      <c r="E216" s="446">
        <f t="shared" si="7"/>
        <v>1</v>
      </c>
      <c r="F216" s="446">
        <v>1</v>
      </c>
      <c r="G216" s="446">
        <f t="shared" si="8"/>
        <v>1</v>
      </c>
      <c r="H216" s="446">
        <v>1</v>
      </c>
      <c r="I216" s="446">
        <f t="shared" si="5"/>
        <v>1</v>
      </c>
      <c r="J216" s="446">
        <v>3</v>
      </c>
      <c r="K216" s="446">
        <f>+J216</f>
        <v>3</v>
      </c>
      <c r="L216" s="780"/>
      <c r="M216" s="780"/>
    </row>
    <row r="217" spans="1:13" ht="12.75">
      <c r="A217" s="446">
        <v>1</v>
      </c>
      <c r="B217" s="446">
        <f t="shared" si="6"/>
        <v>1</v>
      </c>
      <c r="C217" s="446"/>
      <c r="D217" s="446">
        <v>1</v>
      </c>
      <c r="E217" s="446">
        <f t="shared" si="7"/>
        <v>1</v>
      </c>
      <c r="F217" s="446">
        <v>1</v>
      </c>
      <c r="G217" s="446">
        <f t="shared" si="8"/>
        <v>1</v>
      </c>
      <c r="H217" s="446">
        <v>1</v>
      </c>
      <c r="I217" s="446">
        <f t="shared" si="5"/>
        <v>1</v>
      </c>
      <c r="J217" s="446">
        <v>4</v>
      </c>
      <c r="K217" s="446">
        <f>IF(J217=2,K216,J217)</f>
        <v>4</v>
      </c>
      <c r="L217" s="780"/>
      <c r="M217" s="780"/>
    </row>
    <row r="218" spans="1:13" ht="12.75">
      <c r="A218" s="446">
        <v>1</v>
      </c>
      <c r="B218" s="446">
        <f t="shared" si="6"/>
        <v>1</v>
      </c>
      <c r="C218" s="446"/>
      <c r="D218" s="446">
        <v>1</v>
      </c>
      <c r="E218" s="446">
        <f t="shared" si="7"/>
        <v>1</v>
      </c>
      <c r="F218" s="446">
        <v>1</v>
      </c>
      <c r="G218" s="446">
        <f t="shared" si="8"/>
        <v>1</v>
      </c>
      <c r="H218" s="446">
        <v>1</v>
      </c>
      <c r="I218" s="446">
        <f t="shared" si="5"/>
        <v>1</v>
      </c>
      <c r="J218" s="446">
        <v>5</v>
      </c>
      <c r="K218" s="446">
        <f>IF(J218=2,K217,J218)</f>
        <v>5</v>
      </c>
      <c r="L218" s="780"/>
      <c r="M218" s="780"/>
    </row>
    <row r="219" spans="1:13" ht="12.75">
      <c r="A219" s="446">
        <v>1</v>
      </c>
      <c r="B219" s="446">
        <f t="shared" si="6"/>
        <v>1</v>
      </c>
      <c r="C219" s="446"/>
      <c r="D219" s="446">
        <v>1</v>
      </c>
      <c r="E219" s="446">
        <f t="shared" si="7"/>
        <v>1</v>
      </c>
      <c r="F219" s="446">
        <v>1</v>
      </c>
      <c r="G219" s="446">
        <f t="shared" si="8"/>
        <v>1</v>
      </c>
      <c r="H219" s="448" t="s">
        <v>232</v>
      </c>
      <c r="I219" s="448" t="s">
        <v>495</v>
      </c>
      <c r="J219" s="448" t="s">
        <v>512</v>
      </c>
      <c r="K219" s="451" t="s">
        <v>182</v>
      </c>
      <c r="L219" s="780"/>
      <c r="M219" s="780"/>
    </row>
    <row r="220" spans="1:13" ht="12.75">
      <c r="A220" s="446">
        <v>1</v>
      </c>
      <c r="B220" s="446">
        <f t="shared" si="6"/>
        <v>1</v>
      </c>
      <c r="C220" s="446"/>
      <c r="D220" s="446">
        <v>1</v>
      </c>
      <c r="E220" s="446">
        <f t="shared" si="7"/>
        <v>1</v>
      </c>
      <c r="F220" s="446">
        <v>1</v>
      </c>
      <c r="G220" s="446">
        <f t="shared" si="8"/>
        <v>1</v>
      </c>
      <c r="H220" s="446">
        <v>1</v>
      </c>
      <c r="I220" s="446">
        <f>+H220</f>
        <v>1</v>
      </c>
      <c r="J220" s="446">
        <v>1</v>
      </c>
      <c r="K220" s="446">
        <f>+J220</f>
        <v>1</v>
      </c>
      <c r="L220" s="780"/>
      <c r="M220" s="780"/>
    </row>
    <row r="221" spans="1:13" ht="12.75">
      <c r="A221" s="446">
        <v>1</v>
      </c>
      <c r="B221" s="446">
        <f t="shared" si="6"/>
        <v>1</v>
      </c>
      <c r="C221" s="446"/>
      <c r="D221" s="446">
        <v>1</v>
      </c>
      <c r="E221" s="446">
        <f t="shared" si="7"/>
        <v>1</v>
      </c>
      <c r="F221" s="446">
        <v>1</v>
      </c>
      <c r="G221" s="446">
        <f t="shared" si="8"/>
        <v>1</v>
      </c>
      <c r="H221" s="446">
        <v>1</v>
      </c>
      <c r="I221" s="446">
        <f>IF(H221=2,I220,H221)</f>
        <v>1</v>
      </c>
      <c r="J221" s="446">
        <v>1</v>
      </c>
      <c r="K221" s="446">
        <f>IF(J221=2,K220,J221)</f>
        <v>1</v>
      </c>
      <c r="L221" s="780"/>
      <c r="M221" s="780"/>
    </row>
    <row r="222" spans="1:13" ht="12.75">
      <c r="A222" s="446">
        <v>1</v>
      </c>
      <c r="B222" s="446">
        <f t="shared" si="6"/>
        <v>1</v>
      </c>
      <c r="C222" s="446"/>
      <c r="D222" s="446">
        <v>1</v>
      </c>
      <c r="E222" s="446">
        <f t="shared" si="7"/>
        <v>1</v>
      </c>
      <c r="F222" s="446">
        <v>1</v>
      </c>
      <c r="G222" s="446">
        <f t="shared" si="8"/>
        <v>1</v>
      </c>
      <c r="H222" s="446">
        <v>1</v>
      </c>
      <c r="I222" s="446">
        <f>IF(H222=2,I221,H222)</f>
        <v>1</v>
      </c>
      <c r="J222" s="446">
        <v>1</v>
      </c>
      <c r="K222" s="446">
        <f>IF(J222=2,K221,J222)</f>
        <v>1</v>
      </c>
      <c r="L222" s="780"/>
      <c r="M222" s="780"/>
    </row>
    <row r="223" spans="1:13" ht="12.75">
      <c r="A223" s="446">
        <v>1</v>
      </c>
      <c r="B223" s="446">
        <f t="shared" si="6"/>
        <v>1</v>
      </c>
      <c r="C223" s="446"/>
      <c r="D223" s="446">
        <v>1</v>
      </c>
      <c r="E223" s="446">
        <f t="shared" si="7"/>
        <v>1</v>
      </c>
      <c r="F223" s="446">
        <v>1</v>
      </c>
      <c r="G223" s="446">
        <f t="shared" si="8"/>
        <v>1</v>
      </c>
      <c r="H223" s="446">
        <v>1</v>
      </c>
      <c r="I223" s="446">
        <f>IF(H223=2,I222,H223)</f>
        <v>1</v>
      </c>
      <c r="J223" s="446">
        <v>1</v>
      </c>
      <c r="K223" s="446">
        <f>IF(J223=2,K222,J223)</f>
        <v>1</v>
      </c>
      <c r="L223" s="780"/>
      <c r="M223" s="780"/>
    </row>
    <row r="224" spans="1:13" ht="12.75">
      <c r="A224" s="446">
        <v>1</v>
      </c>
      <c r="B224" s="446">
        <f t="shared" si="6"/>
        <v>1</v>
      </c>
      <c r="C224" s="446"/>
      <c r="D224" s="446">
        <v>1</v>
      </c>
      <c r="E224" s="446">
        <f t="shared" si="7"/>
        <v>1</v>
      </c>
      <c r="F224" s="446">
        <v>1</v>
      </c>
      <c r="G224" s="446">
        <f t="shared" si="8"/>
        <v>1</v>
      </c>
      <c r="H224" s="446">
        <v>1</v>
      </c>
      <c r="I224" s="446">
        <f>IF(H224=2,I223,H224)</f>
        <v>1</v>
      </c>
      <c r="J224" s="446">
        <v>1</v>
      </c>
      <c r="K224" s="446">
        <f>IF(J224=2,K223,J224)</f>
        <v>1</v>
      </c>
      <c r="L224" s="780"/>
      <c r="M224" s="780"/>
    </row>
    <row r="225" spans="1:13" ht="12.75">
      <c r="A225" s="448" t="s">
        <v>524</v>
      </c>
      <c r="B225" s="448" t="s">
        <v>14</v>
      </c>
      <c r="C225" s="446"/>
      <c r="D225" s="448" t="s">
        <v>629</v>
      </c>
      <c r="E225" s="448" t="s">
        <v>13</v>
      </c>
      <c r="F225" s="448" t="s">
        <v>30</v>
      </c>
      <c r="G225" s="448" t="s">
        <v>630</v>
      </c>
      <c r="H225" s="446"/>
      <c r="I225" s="446"/>
      <c r="J225" s="446"/>
      <c r="K225" s="446"/>
      <c r="L225" s="780"/>
      <c r="M225" s="780"/>
    </row>
    <row r="226" spans="1:11" ht="12.75">
      <c r="A226" s="446">
        <v>1</v>
      </c>
      <c r="B226" s="446">
        <f>+A226</f>
        <v>1</v>
      </c>
      <c r="C226" s="446"/>
      <c r="D226" s="446">
        <v>1</v>
      </c>
      <c r="E226" s="446">
        <f>D226</f>
        <v>1</v>
      </c>
      <c r="F226" s="446">
        <v>1</v>
      </c>
      <c r="G226" s="446">
        <f>F226</f>
        <v>1</v>
      </c>
      <c r="H226" s="446"/>
      <c r="I226" s="446"/>
      <c r="J226" s="446"/>
      <c r="K226" s="446"/>
    </row>
    <row r="227" spans="1:11" ht="12.75">
      <c r="A227" s="452"/>
      <c r="B227" s="452"/>
      <c r="C227" s="452"/>
      <c r="D227" s="452"/>
      <c r="E227" s="452"/>
      <c r="F227" s="452"/>
      <c r="G227" s="452"/>
      <c r="H227" s="452"/>
      <c r="I227" s="452"/>
      <c r="J227" s="452"/>
      <c r="K227" s="452"/>
    </row>
  </sheetData>
  <sheetProtection password="E56D" sheet="1"/>
  <hyperlinks>
    <hyperlink ref="K99" r:id="rId1" display="https://www.paypal.com/paypalme/fabriziohockey"/>
  </hyperlinks>
  <printOptions/>
  <pageMargins left="0.1968503937007874" right="0.1968503937007874" top="0.1968503937007874" bottom="0.1968503937007874" header="0.1968503937007874" footer="0.1968503937007874"/>
  <pageSetup horizontalDpi="30066" verticalDpi="30066" orientation="landscape" paperSize="9" r:id="rId4"/>
  <ignoredErrors>
    <ignoredError sqref="A2:K3 A106:K111 A105:E105 G105:K105 A113:K137 A112:C112 E112:K112 B30:K30 B29:I29 K29 A54:K62 A50:I53 K31:K53 A13:K13 A12:F12 I12:K12 A102:K104 A101:F101 I101:K101 A100:F100 A99:D99 B196:C196 I186 A24:K24 A14:D20 G14:K20 A81:K98 A80:H80 J80:K80 A74:K79 A72:J72 A71:K71 A63:J63 A64:J64 A65:J65 A66:J66 A67:J67 A68:J68 A69:J69 A70:J70 K63:K70 K72 A166:K183 A138 G138:K138 C138:E138 B207:C207 B197:E197 K197 B198:C198 K198 B199:C199 K199 B200:C200 K200 B31:I48 A21:B23 D21:D23 F21:K23 B187:C187 K187 B188:C188 K188 B189:C189 K189 B190:C190 K190 B191:C191 K191 B192:C192 K192 B193:C193 K193 B194:C194 K194 B195:C195 K195 K196 B201:C201 K201 B202:C202 K202 B203:C203 K203 B204:C204 K204 B205:C205 K205 B206:C206 K206 B215:G215 B210:C210 K210 B211:C211 K211 B212:C212 K212 B213:G213 K213 B219:K227 B216:G216 K216 B217:G217 K217 B218:I218 K218 B209:C209 B208:E208 I208:K208 I209:K209 I210 I211 I212 I213 B214:G214 I214:K214 I215:K215 I216 I217 I206 A26:K27 A25:B25 J25:K25 D25:H25 E196 E207:K207 E198 E199:I199 E200 E187:I187 E188 E189:I189 E190 E191:I191 E192 E193:I193 E194 E195:I195 E201 E202:I202 E203 E204:I204 E205 E206:G206 E210 E211:G211 E212 E209:G209 G197:I197 G208 G196:I196 G198:I198 G200:I200 G188:I188 G190:I190 G192:I192 G194:I194 G201:I201 G203:I203 G205:I205 G210 G212 A139:B165 E139:K165 A1:J1 I100:K100 B5:C6 B4 G4:K4 E4 C7:C10 F7:K10 G11:K11 E5:K6 D11:E11 C11 F11 A49:G49 I49 A73:D73 F73:K73 A28 C28:K28" unlockedFormula="1"/>
    <ignoredError sqref="J29 J31:J53 I80" formulaRange="1" unlockedFormula="1"/>
  </ignoredErrors>
  <legacyDrawing r:id="rId3"/>
</worksheet>
</file>

<file path=xl/worksheets/sheet2.xml><?xml version="1.0" encoding="utf-8"?>
<worksheet xmlns="http://schemas.openxmlformats.org/spreadsheetml/2006/main" xmlns:r="http://schemas.openxmlformats.org/officeDocument/2006/relationships">
  <dimension ref="A1:J419"/>
  <sheetViews>
    <sheetView zoomScalePageLayoutView="0" workbookViewId="0" topLeftCell="A265">
      <selection activeCell="B291" sqref="B291"/>
    </sheetView>
  </sheetViews>
  <sheetFormatPr defaultColWidth="9.00390625" defaultRowHeight="12.75"/>
  <cols>
    <col min="1" max="1" width="3.00390625" style="3" customWidth="1"/>
    <col min="2" max="2" width="22.7109375" style="3" customWidth="1"/>
    <col min="3" max="3" width="10.7109375" style="3" customWidth="1"/>
    <col min="4" max="4" width="13.7109375" style="3" customWidth="1"/>
    <col min="5" max="5" width="14.7109375" style="3" customWidth="1"/>
    <col min="6" max="7" width="20.7109375" style="3" customWidth="1"/>
    <col min="8" max="8" width="10.7109375" style="3" customWidth="1"/>
    <col min="9" max="247" width="9.00390625" style="3" customWidth="1"/>
    <col min="248" max="16384" width="9.00390625" style="3" customWidth="1"/>
  </cols>
  <sheetData>
    <row r="1" spans="1:7" ht="12.75">
      <c r="A1" s="48">
        <v>1</v>
      </c>
      <c r="B1" s="179" t="s">
        <v>92</v>
      </c>
      <c r="C1" s="39" t="s">
        <v>76</v>
      </c>
      <c r="E1" s="793"/>
      <c r="F1" s="118"/>
      <c r="G1" s="118"/>
    </row>
    <row r="2" spans="1:7" ht="12.75">
      <c r="A2" s="23">
        <v>1</v>
      </c>
      <c r="B2" s="17" t="s">
        <v>207</v>
      </c>
      <c r="C2" s="34">
        <v>0</v>
      </c>
      <c r="E2" s="793"/>
      <c r="F2" s="794"/>
      <c r="G2" s="118"/>
    </row>
    <row r="3" spans="1:7" ht="12.75">
      <c r="A3" s="23">
        <f aca="true" t="shared" si="0" ref="A3:A60">A2+1</f>
        <v>2</v>
      </c>
      <c r="B3" s="68" t="s">
        <v>15</v>
      </c>
      <c r="C3" s="34"/>
      <c r="E3" s="793"/>
      <c r="F3" s="794"/>
      <c r="G3" s="118"/>
    </row>
    <row r="4" spans="1:7" ht="12.75">
      <c r="A4" s="23">
        <f t="shared" si="0"/>
        <v>3</v>
      </c>
      <c r="B4" s="3" t="s">
        <v>119</v>
      </c>
      <c r="C4" s="109">
        <v>5</v>
      </c>
      <c r="E4" s="793"/>
      <c r="F4" s="118"/>
      <c r="G4" s="118"/>
    </row>
    <row r="5" spans="1:7" ht="12.75">
      <c r="A5" s="23">
        <f t="shared" si="0"/>
        <v>4</v>
      </c>
      <c r="B5" s="3" t="s">
        <v>120</v>
      </c>
      <c r="C5" s="109">
        <f>C4+10</f>
        <v>15</v>
      </c>
      <c r="E5" s="793"/>
      <c r="F5" s="118"/>
      <c r="G5" s="118"/>
    </row>
    <row r="6" spans="1:7" ht="12.75">
      <c r="A6" s="23">
        <f t="shared" si="0"/>
        <v>5</v>
      </c>
      <c r="B6" s="3" t="s">
        <v>164</v>
      </c>
      <c r="C6" s="109">
        <f>C5+10</f>
        <v>25</v>
      </c>
      <c r="E6" s="793"/>
      <c r="F6" s="118"/>
      <c r="G6" s="118"/>
    </row>
    <row r="7" spans="1:7" ht="12.75">
      <c r="A7" s="23">
        <f t="shared" si="0"/>
        <v>6</v>
      </c>
      <c r="B7" s="3" t="s">
        <v>121</v>
      </c>
      <c r="C7" s="109">
        <v>10</v>
      </c>
      <c r="E7" s="793"/>
      <c r="F7" s="795"/>
      <c r="G7" s="118"/>
    </row>
    <row r="8" spans="1:7" ht="12.75">
      <c r="A8" s="23">
        <f t="shared" si="0"/>
        <v>7</v>
      </c>
      <c r="B8" s="3" t="s">
        <v>122</v>
      </c>
      <c r="C8" s="109">
        <f>C7+10</f>
        <v>20</v>
      </c>
      <c r="E8" s="793"/>
      <c r="F8" s="118"/>
      <c r="G8" s="118"/>
    </row>
    <row r="9" spans="1:7" ht="12.75">
      <c r="A9" s="23">
        <f t="shared" si="0"/>
        <v>8</v>
      </c>
      <c r="B9" s="3" t="s">
        <v>165</v>
      </c>
      <c r="C9" s="109">
        <f>C8+10</f>
        <v>30</v>
      </c>
      <c r="E9" s="793"/>
      <c r="F9" s="118"/>
      <c r="G9" s="118"/>
    </row>
    <row r="10" spans="1:7" ht="12.75">
      <c r="A10" s="23">
        <f t="shared" si="0"/>
        <v>9</v>
      </c>
      <c r="B10" s="3" t="s">
        <v>108</v>
      </c>
      <c r="C10" s="109">
        <v>15</v>
      </c>
      <c r="E10" s="793"/>
      <c r="F10" s="118"/>
      <c r="G10" s="118"/>
    </row>
    <row r="11" spans="1:7" ht="12.75">
      <c r="A11" s="23">
        <f t="shared" si="0"/>
        <v>10</v>
      </c>
      <c r="B11" s="3" t="s">
        <v>109</v>
      </c>
      <c r="C11" s="109">
        <f>C10+10</f>
        <v>25</v>
      </c>
      <c r="E11" s="793"/>
      <c r="F11" s="118"/>
      <c r="G11" s="118"/>
    </row>
    <row r="12" spans="1:7" ht="12.75">
      <c r="A12" s="23">
        <f t="shared" si="0"/>
        <v>11</v>
      </c>
      <c r="B12" s="3" t="s">
        <v>166</v>
      </c>
      <c r="C12" s="109">
        <f>C11+10</f>
        <v>35</v>
      </c>
      <c r="E12" s="793"/>
      <c r="F12" s="118"/>
      <c r="G12" s="118"/>
    </row>
    <row r="13" spans="1:7" ht="12.75">
      <c r="A13" s="23">
        <f t="shared" si="0"/>
        <v>12</v>
      </c>
      <c r="B13" s="3" t="s">
        <v>79</v>
      </c>
      <c r="C13" s="109">
        <v>4</v>
      </c>
      <c r="E13" s="793"/>
      <c r="F13" s="118"/>
      <c r="G13" s="118"/>
    </row>
    <row r="14" spans="1:7" ht="12.75">
      <c r="A14" s="23">
        <f t="shared" si="0"/>
        <v>13</v>
      </c>
      <c r="B14" s="3" t="s">
        <v>80</v>
      </c>
      <c r="C14" s="109">
        <f>C13+10</f>
        <v>14</v>
      </c>
      <c r="E14" s="793"/>
      <c r="F14" s="118"/>
      <c r="G14" s="118"/>
    </row>
    <row r="15" spans="1:7" ht="12.75">
      <c r="A15" s="23">
        <f t="shared" si="0"/>
        <v>14</v>
      </c>
      <c r="B15" s="3" t="s">
        <v>167</v>
      </c>
      <c r="C15" s="109">
        <f>C14+10</f>
        <v>24</v>
      </c>
      <c r="E15" s="793"/>
      <c r="F15" s="118"/>
      <c r="G15" s="118"/>
    </row>
    <row r="16" spans="1:7" ht="12.75">
      <c r="A16" s="23">
        <f t="shared" si="0"/>
        <v>15</v>
      </c>
      <c r="B16" s="3" t="s">
        <v>81</v>
      </c>
      <c r="C16" s="109">
        <v>10</v>
      </c>
      <c r="E16" s="793"/>
      <c r="F16" s="118"/>
      <c r="G16" s="118"/>
    </row>
    <row r="17" spans="1:7" ht="12.75">
      <c r="A17" s="23">
        <f t="shared" si="0"/>
        <v>16</v>
      </c>
      <c r="B17" s="3" t="s">
        <v>82</v>
      </c>
      <c r="C17" s="109">
        <f>C16+10</f>
        <v>20</v>
      </c>
      <c r="E17" s="793"/>
      <c r="F17" s="118"/>
      <c r="G17" s="118"/>
    </row>
    <row r="18" spans="1:7" ht="12.75">
      <c r="A18" s="23">
        <f t="shared" si="0"/>
        <v>17</v>
      </c>
      <c r="B18" s="3" t="s">
        <v>168</v>
      </c>
      <c r="C18" s="109">
        <f>C17+10</f>
        <v>30</v>
      </c>
      <c r="E18" s="793"/>
      <c r="F18" s="118"/>
      <c r="G18" s="118"/>
    </row>
    <row r="19" spans="1:7" ht="12.75">
      <c r="A19" s="23">
        <f t="shared" si="0"/>
        <v>18</v>
      </c>
      <c r="B19" s="3" t="s">
        <v>123</v>
      </c>
      <c r="C19" s="109">
        <v>10</v>
      </c>
      <c r="E19" s="793"/>
      <c r="F19" s="118"/>
      <c r="G19" s="118"/>
    </row>
    <row r="20" spans="1:7" ht="12.75">
      <c r="A20" s="23">
        <f t="shared" si="0"/>
        <v>19</v>
      </c>
      <c r="B20" s="3" t="s">
        <v>124</v>
      </c>
      <c r="C20" s="109">
        <f>C19+10</f>
        <v>20</v>
      </c>
      <c r="E20" s="793"/>
      <c r="F20" s="118"/>
      <c r="G20" s="118"/>
    </row>
    <row r="21" spans="1:7" ht="12.75">
      <c r="A21" s="23">
        <f t="shared" si="0"/>
        <v>20</v>
      </c>
      <c r="B21" s="3" t="s">
        <v>163</v>
      </c>
      <c r="C21" s="109">
        <f>C20+10</f>
        <v>30</v>
      </c>
      <c r="E21" s="793"/>
      <c r="F21" s="118"/>
      <c r="G21" s="118"/>
    </row>
    <row r="22" spans="1:7" ht="12.75">
      <c r="A22" s="23">
        <f t="shared" si="0"/>
        <v>21</v>
      </c>
      <c r="B22" s="3" t="s">
        <v>125</v>
      </c>
      <c r="C22" s="109">
        <v>15</v>
      </c>
      <c r="E22" s="793"/>
      <c r="F22" s="118"/>
      <c r="G22" s="118"/>
    </row>
    <row r="23" spans="1:7" ht="12.75">
      <c r="A23" s="23">
        <f t="shared" si="0"/>
        <v>22</v>
      </c>
      <c r="B23" s="3" t="s">
        <v>126</v>
      </c>
      <c r="C23" s="109">
        <f>C22+10</f>
        <v>25</v>
      </c>
      <c r="E23" s="793"/>
      <c r="F23" s="118"/>
      <c r="G23" s="118"/>
    </row>
    <row r="24" spans="1:7" ht="12.75">
      <c r="A24" s="23">
        <f t="shared" si="0"/>
        <v>23</v>
      </c>
      <c r="B24" s="3" t="s">
        <v>162</v>
      </c>
      <c r="C24" s="109">
        <f>C23+10</f>
        <v>35</v>
      </c>
      <c r="E24" s="793"/>
      <c r="F24" s="118"/>
      <c r="G24" s="118"/>
    </row>
    <row r="25" spans="1:7" ht="12.75">
      <c r="A25" s="23">
        <f t="shared" si="0"/>
        <v>24</v>
      </c>
      <c r="B25" s="3" t="s">
        <v>127</v>
      </c>
      <c r="C25" s="109">
        <v>20</v>
      </c>
      <c r="E25" s="793"/>
      <c r="F25" s="118"/>
      <c r="G25" s="118"/>
    </row>
    <row r="26" spans="1:7" ht="12.75">
      <c r="A26" s="23">
        <f t="shared" si="0"/>
        <v>25</v>
      </c>
      <c r="B26" s="9" t="s">
        <v>128</v>
      </c>
      <c r="C26" s="109">
        <f>C25+10</f>
        <v>30</v>
      </c>
      <c r="E26" s="793"/>
      <c r="F26" s="118"/>
      <c r="G26" s="118"/>
    </row>
    <row r="27" spans="1:7" ht="12.75">
      <c r="A27" s="23">
        <f t="shared" si="0"/>
        <v>26</v>
      </c>
      <c r="B27" s="3" t="s">
        <v>161</v>
      </c>
      <c r="C27" s="109">
        <f>C26+10</f>
        <v>40</v>
      </c>
      <c r="E27" s="793"/>
      <c r="F27" s="118"/>
      <c r="G27" s="118"/>
    </row>
    <row r="28" spans="1:7" ht="12.75">
      <c r="A28" s="23">
        <f t="shared" si="0"/>
        <v>27</v>
      </c>
      <c r="B28" s="3" t="s">
        <v>77</v>
      </c>
      <c r="C28" s="109">
        <v>2</v>
      </c>
      <c r="E28" s="793"/>
      <c r="F28" s="118"/>
      <c r="G28" s="118"/>
    </row>
    <row r="29" spans="1:7" ht="12.75">
      <c r="A29" s="23">
        <f t="shared" si="0"/>
        <v>28</v>
      </c>
      <c r="B29" s="3" t="s">
        <v>78</v>
      </c>
      <c r="C29" s="109">
        <f>C28+10</f>
        <v>12</v>
      </c>
      <c r="E29" s="793"/>
      <c r="F29" s="118"/>
      <c r="G29" s="118"/>
    </row>
    <row r="30" spans="1:7" ht="12.75">
      <c r="A30" s="23">
        <f t="shared" si="0"/>
        <v>29</v>
      </c>
      <c r="B30" s="3" t="s">
        <v>160</v>
      </c>
      <c r="C30" s="109">
        <f>C29+10</f>
        <v>22</v>
      </c>
      <c r="E30" s="793"/>
      <c r="F30" s="118"/>
      <c r="G30" s="118"/>
    </row>
    <row r="31" spans="1:7" ht="12.75">
      <c r="A31" s="23">
        <f t="shared" si="0"/>
        <v>30</v>
      </c>
      <c r="B31" s="3" t="s">
        <v>208</v>
      </c>
      <c r="C31" s="109">
        <v>3</v>
      </c>
      <c r="E31" s="793"/>
      <c r="F31" s="118"/>
      <c r="G31" s="118"/>
    </row>
    <row r="32" spans="1:7" ht="12.75">
      <c r="A32" s="23">
        <f t="shared" si="0"/>
        <v>31</v>
      </c>
      <c r="B32" s="3" t="s">
        <v>209</v>
      </c>
      <c r="C32" s="109">
        <f>C31+10</f>
        <v>13</v>
      </c>
      <c r="E32" s="793"/>
      <c r="F32" s="118"/>
      <c r="G32" s="118"/>
    </row>
    <row r="33" spans="1:7" ht="12.75">
      <c r="A33" s="23">
        <f t="shared" si="0"/>
        <v>32</v>
      </c>
      <c r="B33" s="3" t="s">
        <v>210</v>
      </c>
      <c r="C33" s="109">
        <f>C32+10</f>
        <v>23</v>
      </c>
      <c r="E33" s="793"/>
      <c r="F33" s="118"/>
      <c r="G33" s="118"/>
    </row>
    <row r="34" spans="1:7" ht="12.75">
      <c r="A34" s="23">
        <f t="shared" si="0"/>
        <v>33</v>
      </c>
      <c r="B34" s="3" t="s">
        <v>90</v>
      </c>
      <c r="C34" s="109">
        <v>4</v>
      </c>
      <c r="E34" s="793"/>
      <c r="F34" s="118"/>
      <c r="G34" s="118"/>
    </row>
    <row r="35" spans="1:7" ht="12.75">
      <c r="A35" s="23">
        <f t="shared" si="0"/>
        <v>34</v>
      </c>
      <c r="B35" s="3" t="s">
        <v>91</v>
      </c>
      <c r="C35" s="109">
        <f>C34+10</f>
        <v>14</v>
      </c>
      <c r="E35" s="793"/>
      <c r="F35" s="118"/>
      <c r="G35" s="118"/>
    </row>
    <row r="36" spans="1:7" ht="12.75">
      <c r="A36" s="23">
        <f t="shared" si="0"/>
        <v>35</v>
      </c>
      <c r="B36" s="5" t="s">
        <v>159</v>
      </c>
      <c r="C36" s="109">
        <f>C35+10</f>
        <v>24</v>
      </c>
      <c r="E36" s="793"/>
      <c r="F36" s="118"/>
      <c r="G36" s="118"/>
    </row>
    <row r="37" spans="1:7" ht="12.75">
      <c r="A37" s="102">
        <f t="shared" si="0"/>
        <v>36</v>
      </c>
      <c r="B37" s="103" t="s">
        <v>284</v>
      </c>
      <c r="C37" s="110">
        <v>1</v>
      </c>
      <c r="E37" s="793"/>
      <c r="F37" s="118"/>
      <c r="G37" s="118"/>
    </row>
    <row r="38" spans="1:7" ht="12.75">
      <c r="A38" s="23">
        <f t="shared" si="0"/>
        <v>37</v>
      </c>
      <c r="B38" s="3" t="s">
        <v>308</v>
      </c>
      <c r="C38" s="109">
        <f>2*20</f>
        <v>40</v>
      </c>
      <c r="E38" s="793"/>
      <c r="F38" s="118"/>
      <c r="G38" s="118"/>
    </row>
    <row r="39" spans="1:7" ht="12.75">
      <c r="A39" s="23">
        <f t="shared" si="0"/>
        <v>38</v>
      </c>
      <c r="B39" s="3" t="s">
        <v>83</v>
      </c>
      <c r="C39" s="109">
        <f>3*20</f>
        <v>60</v>
      </c>
      <c r="E39" s="796"/>
      <c r="F39" s="118"/>
      <c r="G39" s="118"/>
    </row>
    <row r="40" spans="1:7" ht="12.75">
      <c r="A40" s="23">
        <f t="shared" si="0"/>
        <v>39</v>
      </c>
      <c r="B40" s="3" t="s">
        <v>84</v>
      </c>
      <c r="C40" s="109">
        <f>4*20</f>
        <v>80</v>
      </c>
      <c r="E40" s="796"/>
      <c r="F40" s="118"/>
      <c r="G40" s="118"/>
    </row>
    <row r="41" spans="1:7" ht="12.75">
      <c r="A41" s="23">
        <f t="shared" si="0"/>
        <v>40</v>
      </c>
      <c r="B41" s="3" t="s">
        <v>705</v>
      </c>
      <c r="C41" s="109">
        <f>3*20</f>
        <v>60</v>
      </c>
      <c r="E41" s="796"/>
      <c r="F41" s="118"/>
      <c r="G41" s="118"/>
    </row>
    <row r="42" spans="1:7" ht="12.75">
      <c r="A42" s="23">
        <f t="shared" si="0"/>
        <v>41</v>
      </c>
      <c r="B42" s="3" t="s">
        <v>686</v>
      </c>
      <c r="C42" s="109">
        <f>4*20</f>
        <v>80</v>
      </c>
      <c r="E42" s="796"/>
      <c r="F42" s="118"/>
      <c r="G42" s="118"/>
    </row>
    <row r="43" spans="1:7" ht="12.75">
      <c r="A43" s="23">
        <f t="shared" si="0"/>
        <v>42</v>
      </c>
      <c r="B43" s="3" t="s">
        <v>85</v>
      </c>
      <c r="C43" s="109">
        <f>5*20</f>
        <v>100</v>
      </c>
      <c r="E43" s="796"/>
      <c r="F43" s="118"/>
      <c r="G43" s="118"/>
    </row>
    <row r="44" spans="1:7" ht="12.75">
      <c r="A44" s="23">
        <f t="shared" si="0"/>
        <v>43</v>
      </c>
      <c r="B44" s="3" t="s">
        <v>86</v>
      </c>
      <c r="C44" s="109">
        <f>6*20</f>
        <v>120</v>
      </c>
      <c r="E44" s="796"/>
      <c r="F44" s="118"/>
      <c r="G44" s="118"/>
    </row>
    <row r="45" spans="1:7" ht="12.75">
      <c r="A45" s="23">
        <f>A44+1</f>
        <v>44</v>
      </c>
      <c r="B45" s="3" t="s">
        <v>696</v>
      </c>
      <c r="C45" s="109">
        <v>200</v>
      </c>
      <c r="E45" s="796"/>
      <c r="F45" s="118"/>
      <c r="G45" s="118"/>
    </row>
    <row r="46" spans="1:7" ht="12.75">
      <c r="A46" s="23">
        <f t="shared" si="0"/>
        <v>45</v>
      </c>
      <c r="B46" s="90" t="s">
        <v>87</v>
      </c>
      <c r="C46" s="109">
        <f>C45+50</f>
        <v>250</v>
      </c>
      <c r="E46" s="796"/>
      <c r="F46" s="118"/>
      <c r="G46" s="118"/>
    </row>
    <row r="47" spans="1:7" ht="12.75">
      <c r="A47" s="23">
        <f t="shared" si="0"/>
        <v>46</v>
      </c>
      <c r="B47" s="90" t="s">
        <v>88</v>
      </c>
      <c r="C47" s="109">
        <f aca="true" t="shared" si="1" ref="C47:C54">C46+50</f>
        <v>300</v>
      </c>
      <c r="E47" s="796"/>
      <c r="F47" s="118"/>
      <c r="G47" s="118"/>
    </row>
    <row r="48" spans="1:7" ht="12.75">
      <c r="A48" s="23">
        <f t="shared" si="0"/>
        <v>47</v>
      </c>
      <c r="B48" s="90" t="s">
        <v>307</v>
      </c>
      <c r="C48" s="109">
        <f t="shared" si="1"/>
        <v>350</v>
      </c>
      <c r="E48" s="796"/>
      <c r="F48" s="118"/>
      <c r="G48" s="118"/>
    </row>
    <row r="49" spans="1:7" ht="12.75">
      <c r="A49" s="23">
        <f t="shared" si="0"/>
        <v>48</v>
      </c>
      <c r="B49" s="90" t="s">
        <v>306</v>
      </c>
      <c r="C49" s="109">
        <f t="shared" si="1"/>
        <v>400</v>
      </c>
      <c r="E49" s="796"/>
      <c r="F49" s="118"/>
      <c r="G49" s="118"/>
    </row>
    <row r="50" spans="1:7" ht="12.75">
      <c r="A50" s="23">
        <f aca="true" t="shared" si="2" ref="A50:A55">A49+1</f>
        <v>49</v>
      </c>
      <c r="B50" s="90" t="s">
        <v>679</v>
      </c>
      <c r="C50" s="109">
        <f t="shared" si="1"/>
        <v>450</v>
      </c>
      <c r="E50" s="796"/>
      <c r="F50" s="118"/>
      <c r="G50" s="118"/>
    </row>
    <row r="51" spans="1:7" ht="12.75">
      <c r="A51" s="23">
        <f t="shared" si="2"/>
        <v>50</v>
      </c>
      <c r="B51" s="90" t="s">
        <v>680</v>
      </c>
      <c r="C51" s="109">
        <f t="shared" si="1"/>
        <v>500</v>
      </c>
      <c r="E51" s="796"/>
      <c r="F51" s="118"/>
      <c r="G51" s="118"/>
    </row>
    <row r="52" spans="1:7" ht="12.75">
      <c r="A52" s="23">
        <f t="shared" si="2"/>
        <v>51</v>
      </c>
      <c r="B52" s="90" t="s">
        <v>681</v>
      </c>
      <c r="C52" s="109">
        <f t="shared" si="1"/>
        <v>550</v>
      </c>
      <c r="E52" s="796"/>
      <c r="F52" s="118"/>
      <c r="G52" s="118"/>
    </row>
    <row r="53" spans="1:7" ht="12.75">
      <c r="A53" s="23">
        <f t="shared" si="2"/>
        <v>52</v>
      </c>
      <c r="B53" s="90" t="s">
        <v>682</v>
      </c>
      <c r="C53" s="109">
        <f t="shared" si="1"/>
        <v>600</v>
      </c>
      <c r="E53" s="796"/>
      <c r="F53" s="118"/>
      <c r="G53" s="118"/>
    </row>
    <row r="54" spans="1:7" ht="12.75">
      <c r="A54" s="23">
        <f t="shared" si="2"/>
        <v>53</v>
      </c>
      <c r="B54" s="90" t="s">
        <v>683</v>
      </c>
      <c r="C54" s="109">
        <f t="shared" si="1"/>
        <v>650</v>
      </c>
      <c r="E54" s="796"/>
      <c r="F54" s="118"/>
      <c r="G54" s="118"/>
    </row>
    <row r="55" spans="1:7" ht="12.75">
      <c r="A55" s="23">
        <f t="shared" si="2"/>
        <v>54</v>
      </c>
      <c r="B55" s="3" t="s">
        <v>529</v>
      </c>
      <c r="C55" s="109">
        <v>2</v>
      </c>
      <c r="E55" s="797"/>
      <c r="F55" s="118"/>
      <c r="G55" s="118"/>
    </row>
    <row r="56" spans="1:7" ht="12.75">
      <c r="A56" s="23">
        <f t="shared" si="0"/>
        <v>55</v>
      </c>
      <c r="B56" s="3" t="s">
        <v>530</v>
      </c>
      <c r="C56" s="109">
        <v>10</v>
      </c>
      <c r="E56" s="797"/>
      <c r="F56" s="118"/>
      <c r="G56" s="118"/>
    </row>
    <row r="57" spans="1:7" ht="12.75">
      <c r="A57" s="23">
        <f t="shared" si="0"/>
        <v>56</v>
      </c>
      <c r="B57" s="3" t="s">
        <v>843</v>
      </c>
      <c r="C57" s="109">
        <v>10</v>
      </c>
      <c r="E57" s="797"/>
      <c r="F57" s="118"/>
      <c r="G57" s="118"/>
    </row>
    <row r="58" spans="1:7" ht="12.75">
      <c r="A58" s="23">
        <f t="shared" si="0"/>
        <v>57</v>
      </c>
      <c r="B58" s="3" t="s">
        <v>844</v>
      </c>
      <c r="C58" s="109">
        <f>C57+10</f>
        <v>20</v>
      </c>
      <c r="E58" s="797"/>
      <c r="F58" s="118"/>
      <c r="G58" s="118"/>
    </row>
    <row r="59" spans="1:7" ht="12.75">
      <c r="A59" s="23">
        <f t="shared" si="0"/>
        <v>58</v>
      </c>
      <c r="B59" s="3" t="s">
        <v>845</v>
      </c>
      <c r="C59" s="109">
        <f>C58+10</f>
        <v>30</v>
      </c>
      <c r="E59" s="797"/>
      <c r="F59" s="118"/>
      <c r="G59" s="118"/>
    </row>
    <row r="60" spans="1:7" ht="12.75">
      <c r="A60" s="23">
        <f t="shared" si="0"/>
        <v>59</v>
      </c>
      <c r="B60" s="68" t="s">
        <v>531</v>
      </c>
      <c r="C60" s="109">
        <v>150</v>
      </c>
      <c r="E60" s="793"/>
      <c r="F60" s="118"/>
      <c r="G60" s="118"/>
    </row>
    <row r="61" spans="1:7" ht="12.75">
      <c r="A61" s="23">
        <f>A60+1</f>
        <v>60</v>
      </c>
      <c r="B61" s="68" t="s">
        <v>701</v>
      </c>
      <c r="C61" s="109">
        <v>200</v>
      </c>
      <c r="E61" s="793"/>
      <c r="F61" s="118"/>
      <c r="G61" s="118"/>
    </row>
    <row r="62" spans="1:7" ht="12.75">
      <c r="A62" s="23">
        <f>A61+1</f>
        <v>61</v>
      </c>
      <c r="B62" s="68" t="s">
        <v>662</v>
      </c>
      <c r="C62" s="109">
        <f>C61+50</f>
        <v>250</v>
      </c>
      <c r="E62" s="793"/>
      <c r="F62" s="118"/>
      <c r="G62" s="118"/>
    </row>
    <row r="63" spans="1:7" ht="12.75">
      <c r="A63" s="23">
        <f>A62+1</f>
        <v>62</v>
      </c>
      <c r="B63" s="68" t="s">
        <v>484</v>
      </c>
      <c r="C63" s="109">
        <f>C62+50</f>
        <v>300</v>
      </c>
      <c r="E63" s="793"/>
      <c r="F63" s="118"/>
      <c r="G63" s="118"/>
    </row>
    <row r="64" spans="1:7" ht="12.75">
      <c r="A64" s="23">
        <f aca="true" t="shared" si="3" ref="A64:A79">A63+1</f>
        <v>63</v>
      </c>
      <c r="B64" s="68" t="s">
        <v>485</v>
      </c>
      <c r="C64" s="109">
        <f aca="true" t="shared" si="4" ref="C64:C85">C63+50</f>
        <v>350</v>
      </c>
      <c r="E64" s="793"/>
      <c r="F64" s="118"/>
      <c r="G64" s="118"/>
    </row>
    <row r="65" spans="1:7" ht="12.75">
      <c r="A65" s="23">
        <f t="shared" si="3"/>
        <v>64</v>
      </c>
      <c r="B65" s="83" t="s">
        <v>236</v>
      </c>
      <c r="C65" s="109">
        <f t="shared" si="4"/>
        <v>400</v>
      </c>
      <c r="E65" s="793"/>
      <c r="F65" s="118"/>
      <c r="G65" s="118"/>
    </row>
    <row r="66" spans="1:7" ht="12.75">
      <c r="A66" s="23">
        <f t="shared" si="3"/>
        <v>65</v>
      </c>
      <c r="B66" s="83" t="s">
        <v>237</v>
      </c>
      <c r="C66" s="109">
        <f t="shared" si="4"/>
        <v>450</v>
      </c>
      <c r="E66" s="793"/>
      <c r="F66" s="118"/>
      <c r="G66" s="118"/>
    </row>
    <row r="67" spans="1:7" ht="12.75">
      <c r="A67" s="23">
        <f t="shared" si="3"/>
        <v>66</v>
      </c>
      <c r="B67" s="83" t="s">
        <v>238</v>
      </c>
      <c r="C67" s="109">
        <f t="shared" si="4"/>
        <v>500</v>
      </c>
      <c r="E67" s="793"/>
      <c r="F67" s="118"/>
      <c r="G67" s="118"/>
    </row>
    <row r="68" spans="1:7" ht="12.75">
      <c r="A68" s="23">
        <f t="shared" si="3"/>
        <v>67</v>
      </c>
      <c r="B68" s="83" t="s">
        <v>239</v>
      </c>
      <c r="C68" s="109">
        <f t="shared" si="4"/>
        <v>550</v>
      </c>
      <c r="E68" s="793"/>
      <c r="F68" s="118"/>
      <c r="G68" s="118"/>
    </row>
    <row r="69" spans="1:7" ht="12.75">
      <c r="A69" s="23">
        <f t="shared" si="3"/>
        <v>68</v>
      </c>
      <c r="B69" s="83" t="s">
        <v>240</v>
      </c>
      <c r="C69" s="109">
        <f t="shared" si="4"/>
        <v>600</v>
      </c>
      <c r="E69" s="793"/>
      <c r="F69" s="118"/>
      <c r="G69" s="118"/>
    </row>
    <row r="70" spans="1:7" ht="12.75">
      <c r="A70" s="23">
        <f t="shared" si="3"/>
        <v>69</v>
      </c>
      <c r="B70" s="83" t="s">
        <v>241</v>
      </c>
      <c r="C70" s="109">
        <f t="shared" si="4"/>
        <v>650</v>
      </c>
      <c r="E70" s="793"/>
      <c r="F70" s="118"/>
      <c r="G70" s="118"/>
    </row>
    <row r="71" spans="1:7" ht="12.75">
      <c r="A71" s="23">
        <f t="shared" si="3"/>
        <v>70</v>
      </c>
      <c r="B71" s="83" t="s">
        <v>242</v>
      </c>
      <c r="C71" s="109">
        <f t="shared" si="4"/>
        <v>700</v>
      </c>
      <c r="E71" s="793"/>
      <c r="F71" s="118"/>
      <c r="G71" s="118"/>
    </row>
    <row r="72" spans="1:7" ht="12.75">
      <c r="A72" s="23">
        <f t="shared" si="3"/>
        <v>71</v>
      </c>
      <c r="B72" s="83" t="s">
        <v>243</v>
      </c>
      <c r="C72" s="109">
        <f t="shared" si="4"/>
        <v>750</v>
      </c>
      <c r="E72" s="793"/>
      <c r="F72" s="118"/>
      <c r="G72" s="118"/>
    </row>
    <row r="73" spans="1:7" ht="12.75">
      <c r="A73" s="23">
        <f t="shared" si="3"/>
        <v>72</v>
      </c>
      <c r="B73" s="83" t="s">
        <v>244</v>
      </c>
      <c r="C73" s="109">
        <f t="shared" si="4"/>
        <v>800</v>
      </c>
      <c r="E73" s="793"/>
      <c r="F73" s="118"/>
      <c r="G73" s="118"/>
    </row>
    <row r="74" spans="1:7" ht="12.75">
      <c r="A74" s="23">
        <f t="shared" si="3"/>
        <v>73</v>
      </c>
      <c r="B74" s="68" t="s">
        <v>245</v>
      </c>
      <c r="C74" s="109">
        <f t="shared" si="4"/>
        <v>850</v>
      </c>
      <c r="E74" s="793"/>
      <c r="F74" s="118"/>
      <c r="G74" s="118"/>
    </row>
    <row r="75" spans="1:7" ht="12.75">
      <c r="A75" s="23">
        <f t="shared" si="3"/>
        <v>74</v>
      </c>
      <c r="B75" s="68" t="s">
        <v>246</v>
      </c>
      <c r="C75" s="109">
        <f t="shared" si="4"/>
        <v>900</v>
      </c>
      <c r="E75" s="793"/>
      <c r="F75" s="118"/>
      <c r="G75" s="118"/>
    </row>
    <row r="76" spans="1:7" ht="12.75">
      <c r="A76" s="23">
        <f t="shared" si="3"/>
        <v>75</v>
      </c>
      <c r="B76" s="68" t="s">
        <v>247</v>
      </c>
      <c r="C76" s="109">
        <f t="shared" si="4"/>
        <v>950</v>
      </c>
      <c r="E76" s="793"/>
      <c r="F76" s="118"/>
      <c r="G76" s="118"/>
    </row>
    <row r="77" spans="1:7" ht="12.75">
      <c r="A77" s="23">
        <f t="shared" si="3"/>
        <v>76</v>
      </c>
      <c r="B77" s="68" t="s">
        <v>248</v>
      </c>
      <c r="C77" s="109">
        <f t="shared" si="4"/>
        <v>1000</v>
      </c>
      <c r="E77" s="793"/>
      <c r="F77" s="118"/>
      <c r="G77" s="118"/>
    </row>
    <row r="78" spans="1:7" ht="12.75">
      <c r="A78" s="23">
        <f t="shared" si="3"/>
        <v>77</v>
      </c>
      <c r="B78" s="68" t="s">
        <v>249</v>
      </c>
      <c r="C78" s="109">
        <f t="shared" si="4"/>
        <v>1050</v>
      </c>
      <c r="E78" s="793"/>
      <c r="F78" s="118"/>
      <c r="G78" s="118"/>
    </row>
    <row r="79" spans="1:7" ht="12.75">
      <c r="A79" s="23">
        <f t="shared" si="3"/>
        <v>78</v>
      </c>
      <c r="B79" s="68" t="s">
        <v>250</v>
      </c>
      <c r="C79" s="109">
        <f t="shared" si="4"/>
        <v>1100</v>
      </c>
      <c r="E79" s="793"/>
      <c r="F79" s="118"/>
      <c r="G79" s="118"/>
    </row>
    <row r="80" spans="1:7" ht="12.75">
      <c r="A80" s="23">
        <f aca="true" t="shared" si="5" ref="A80:A85">A79+1</f>
        <v>79</v>
      </c>
      <c r="B80" s="68" t="s">
        <v>251</v>
      </c>
      <c r="C80" s="109">
        <f t="shared" si="4"/>
        <v>1150</v>
      </c>
      <c r="E80" s="793"/>
      <c r="F80" s="118"/>
      <c r="G80" s="118"/>
    </row>
    <row r="81" spans="1:7" ht="12.75">
      <c r="A81" s="23">
        <f t="shared" si="5"/>
        <v>80</v>
      </c>
      <c r="B81" s="68" t="s">
        <v>252</v>
      </c>
      <c r="C81" s="109">
        <f t="shared" si="4"/>
        <v>1200</v>
      </c>
      <c r="E81" s="793"/>
      <c r="F81" s="118"/>
      <c r="G81" s="118"/>
    </row>
    <row r="82" spans="1:7" ht="12.75">
      <c r="A82" s="23">
        <f t="shared" si="5"/>
        <v>81</v>
      </c>
      <c r="B82" s="68" t="s">
        <v>253</v>
      </c>
      <c r="C82" s="109">
        <f t="shared" si="4"/>
        <v>1250</v>
      </c>
      <c r="E82" s="793"/>
      <c r="F82" s="118"/>
      <c r="G82" s="118"/>
    </row>
    <row r="83" spans="1:7" ht="12.75">
      <c r="A83" s="23">
        <f t="shared" si="5"/>
        <v>82</v>
      </c>
      <c r="B83" s="68" t="s">
        <v>254</v>
      </c>
      <c r="C83" s="109">
        <f t="shared" si="4"/>
        <v>1300</v>
      </c>
      <c r="E83" s="793"/>
      <c r="F83" s="118"/>
      <c r="G83" s="118"/>
    </row>
    <row r="84" spans="1:7" ht="12.75">
      <c r="A84" s="23">
        <f t="shared" si="5"/>
        <v>83</v>
      </c>
      <c r="B84" s="68" t="s">
        <v>255</v>
      </c>
      <c r="C84" s="109">
        <f t="shared" si="4"/>
        <v>1350</v>
      </c>
      <c r="E84" s="793"/>
      <c r="F84" s="118"/>
      <c r="G84" s="118"/>
    </row>
    <row r="85" spans="1:7" ht="12.75">
      <c r="A85" s="26">
        <f t="shared" si="5"/>
        <v>84</v>
      </c>
      <c r="B85" s="27" t="s">
        <v>256</v>
      </c>
      <c r="C85" s="111">
        <f t="shared" si="4"/>
        <v>1400</v>
      </c>
      <c r="E85" s="798"/>
      <c r="F85" s="118"/>
      <c r="G85" s="118"/>
    </row>
    <row r="86" ht="12.75">
      <c r="E86" s="49"/>
    </row>
    <row r="87" spans="1:8" ht="12.75">
      <c r="A87" s="48">
        <v>2</v>
      </c>
      <c r="B87" s="28" t="s">
        <v>93</v>
      </c>
      <c r="C87" s="7" t="s">
        <v>94</v>
      </c>
      <c r="D87" s="45" t="s">
        <v>741</v>
      </c>
      <c r="E87" s="28" t="s">
        <v>742</v>
      </c>
      <c r="F87" s="50"/>
      <c r="G87" s="51" t="s">
        <v>353</v>
      </c>
      <c r="H87" s="775"/>
    </row>
    <row r="88" spans="1:8" ht="12.75">
      <c r="A88" s="19">
        <v>1</v>
      </c>
      <c r="B88" s="43" t="s">
        <v>207</v>
      </c>
      <c r="C88" s="205"/>
      <c r="D88" s="46"/>
      <c r="E88" s="212"/>
      <c r="F88" s="18"/>
      <c r="G88" s="928" t="s">
        <v>836</v>
      </c>
      <c r="H88" s="776"/>
    </row>
    <row r="89" spans="1:8" ht="12.75">
      <c r="A89" s="23">
        <f>A88+1</f>
        <v>2</v>
      </c>
      <c r="B89" s="184" t="s">
        <v>15</v>
      </c>
      <c r="C89" s="206"/>
      <c r="D89" s="31"/>
      <c r="E89" s="213"/>
      <c r="F89" s="34"/>
      <c r="G89" s="929" t="s">
        <v>837</v>
      </c>
      <c r="H89" s="776"/>
    </row>
    <row r="90" spans="1:8" ht="12.75">
      <c r="A90" s="23">
        <f aca="true" t="shared" si="6" ref="A90:A124">A89+1</f>
        <v>3</v>
      </c>
      <c r="B90" s="184" t="s">
        <v>771</v>
      </c>
      <c r="C90" s="206">
        <v>0.5</v>
      </c>
      <c r="D90" s="788" t="s">
        <v>739</v>
      </c>
      <c r="E90" s="789" t="s">
        <v>743</v>
      </c>
      <c r="F90" s="115"/>
      <c r="G90" s="929" t="s">
        <v>838</v>
      </c>
      <c r="H90" s="776"/>
    </row>
    <row r="91" spans="1:8" ht="12.75">
      <c r="A91" s="23">
        <f t="shared" si="6"/>
        <v>4</v>
      </c>
      <c r="B91" s="184" t="s">
        <v>772</v>
      </c>
      <c r="C91" s="206">
        <v>0.25</v>
      </c>
      <c r="D91" s="788" t="s">
        <v>739</v>
      </c>
      <c r="E91" s="789" t="s">
        <v>744</v>
      </c>
      <c r="F91" s="115"/>
      <c r="G91" s="929" t="s">
        <v>839</v>
      </c>
      <c r="H91" s="776"/>
    </row>
    <row r="92" spans="1:8" ht="12.75">
      <c r="A92" s="23">
        <f t="shared" si="6"/>
        <v>5</v>
      </c>
      <c r="B92" s="118" t="s">
        <v>773</v>
      </c>
      <c r="C92" s="496">
        <v>0.5</v>
      </c>
      <c r="D92" s="788" t="s">
        <v>752</v>
      </c>
      <c r="E92" s="790"/>
      <c r="F92" s="115"/>
      <c r="G92" s="209" t="s">
        <v>840</v>
      </c>
      <c r="H92" s="776"/>
    </row>
    <row r="93" spans="1:8" ht="12.75">
      <c r="A93" s="23">
        <f t="shared" si="6"/>
        <v>6</v>
      </c>
      <c r="B93" s="184" t="s">
        <v>774</v>
      </c>
      <c r="C93" s="496">
        <v>1</v>
      </c>
      <c r="D93" s="788" t="s">
        <v>739</v>
      </c>
      <c r="E93" s="790" t="s">
        <v>212</v>
      </c>
      <c r="F93" s="115"/>
      <c r="G93" s="929" t="s">
        <v>841</v>
      </c>
      <c r="H93" s="776"/>
    </row>
    <row r="94" spans="1:8" ht="12.75">
      <c r="A94" s="23">
        <f t="shared" si="6"/>
        <v>7</v>
      </c>
      <c r="B94" s="118" t="s">
        <v>775</v>
      </c>
      <c r="C94" s="496">
        <v>1</v>
      </c>
      <c r="D94" s="788" t="s">
        <v>752</v>
      </c>
      <c r="E94" s="791"/>
      <c r="F94" s="115"/>
      <c r="G94" s="929" t="s">
        <v>715</v>
      </c>
      <c r="H94" s="776"/>
    </row>
    <row r="95" spans="1:8" ht="12.75">
      <c r="A95" s="23">
        <f t="shared" si="6"/>
        <v>8</v>
      </c>
      <c r="B95" s="118" t="s">
        <v>802</v>
      </c>
      <c r="C95" s="496">
        <v>1</v>
      </c>
      <c r="D95" s="788" t="s">
        <v>759</v>
      </c>
      <c r="E95" s="790" t="s">
        <v>212</v>
      </c>
      <c r="F95" s="115"/>
      <c r="G95" s="929" t="s">
        <v>835</v>
      </c>
      <c r="H95" s="776"/>
    </row>
    <row r="96" spans="1:8" ht="12.75">
      <c r="A96" s="23">
        <f t="shared" si="6"/>
        <v>9</v>
      </c>
      <c r="B96" s="172" t="s">
        <v>776</v>
      </c>
      <c r="C96" s="496">
        <v>0.5</v>
      </c>
      <c r="D96" s="792" t="s">
        <v>739</v>
      </c>
      <c r="E96" s="791"/>
      <c r="F96" s="115"/>
      <c r="G96" s="929" t="s">
        <v>714</v>
      </c>
      <c r="H96" s="776"/>
    </row>
    <row r="97" spans="1:8" ht="12.75">
      <c r="A97" s="23">
        <f t="shared" si="6"/>
        <v>10</v>
      </c>
      <c r="B97" s="118" t="s">
        <v>777</v>
      </c>
      <c r="C97" s="496">
        <v>0.25</v>
      </c>
      <c r="D97" s="792" t="s">
        <v>755</v>
      </c>
      <c r="E97" s="789" t="s">
        <v>757</v>
      </c>
      <c r="F97" s="115"/>
      <c r="G97" s="202" t="s">
        <v>282</v>
      </c>
      <c r="H97" s="776"/>
    </row>
    <row r="98" spans="1:8" ht="12.75">
      <c r="A98" s="23">
        <f t="shared" si="6"/>
        <v>11</v>
      </c>
      <c r="B98" s="184" t="s">
        <v>778</v>
      </c>
      <c r="C98" s="496">
        <v>0.5</v>
      </c>
      <c r="D98" s="788" t="s">
        <v>739</v>
      </c>
      <c r="E98" s="789" t="s">
        <v>740</v>
      </c>
      <c r="F98" s="115"/>
      <c r="G98" s="209" t="s">
        <v>842</v>
      </c>
      <c r="H98" s="777"/>
    </row>
    <row r="99" spans="1:8" ht="12.75">
      <c r="A99" s="23">
        <f t="shared" si="6"/>
        <v>12</v>
      </c>
      <c r="B99" s="118" t="s">
        <v>779</v>
      </c>
      <c r="C99" s="496">
        <v>0.5</v>
      </c>
      <c r="D99" s="788" t="s">
        <v>739</v>
      </c>
      <c r="E99" s="790" t="s">
        <v>212</v>
      </c>
      <c r="F99" s="115"/>
      <c r="G99" s="208" t="s">
        <v>803</v>
      </c>
      <c r="H99" s="776"/>
    </row>
    <row r="100" spans="1:8" ht="12.75">
      <c r="A100" s="23">
        <f t="shared" si="6"/>
        <v>13</v>
      </c>
      <c r="B100" s="184" t="s">
        <v>780</v>
      </c>
      <c r="C100" s="496">
        <v>0.5</v>
      </c>
      <c r="D100" s="788" t="s">
        <v>739</v>
      </c>
      <c r="E100" s="789" t="s">
        <v>745</v>
      </c>
      <c r="F100" s="115"/>
      <c r="G100" s="208" t="s">
        <v>213</v>
      </c>
      <c r="H100" s="776"/>
    </row>
    <row r="101" spans="1:8" ht="12.75">
      <c r="A101" s="23">
        <f t="shared" si="6"/>
        <v>14</v>
      </c>
      <c r="B101" s="118" t="s">
        <v>781</v>
      </c>
      <c r="C101" s="496">
        <v>0.25</v>
      </c>
      <c r="D101" s="792" t="s">
        <v>755</v>
      </c>
      <c r="E101" s="789" t="s">
        <v>757</v>
      </c>
      <c r="F101" s="115"/>
      <c r="G101" s="208" t="s">
        <v>804</v>
      </c>
      <c r="H101" s="776"/>
    </row>
    <row r="102" spans="1:8" ht="12.75">
      <c r="A102" s="23">
        <f t="shared" si="6"/>
        <v>15</v>
      </c>
      <c r="B102" s="184" t="s">
        <v>782</v>
      </c>
      <c r="C102" s="496">
        <v>1</v>
      </c>
      <c r="D102" s="788" t="s">
        <v>739</v>
      </c>
      <c r="E102" s="789" t="s">
        <v>748</v>
      </c>
      <c r="F102" s="115"/>
      <c r="G102" s="202" t="s">
        <v>283</v>
      </c>
      <c r="H102" s="776"/>
    </row>
    <row r="103" spans="1:8" ht="12.75">
      <c r="A103" s="23">
        <f t="shared" si="6"/>
        <v>16</v>
      </c>
      <c r="B103" s="184" t="s">
        <v>783</v>
      </c>
      <c r="C103" s="496">
        <v>0.5</v>
      </c>
      <c r="D103" s="788" t="s">
        <v>739</v>
      </c>
      <c r="E103" s="791"/>
      <c r="F103" s="115"/>
      <c r="G103" s="202"/>
      <c r="H103" s="776"/>
    </row>
    <row r="104" spans="1:8" ht="12.75">
      <c r="A104" s="23">
        <f t="shared" si="6"/>
        <v>17</v>
      </c>
      <c r="B104" s="184" t="s">
        <v>784</v>
      </c>
      <c r="C104" s="496">
        <v>1</v>
      </c>
      <c r="D104" s="788" t="s">
        <v>756</v>
      </c>
      <c r="E104" s="791"/>
      <c r="F104" s="115"/>
      <c r="G104" s="202"/>
      <c r="H104" s="776"/>
    </row>
    <row r="105" spans="1:8" ht="12.75">
      <c r="A105" s="23">
        <f t="shared" si="6"/>
        <v>18</v>
      </c>
      <c r="B105" s="118" t="s">
        <v>785</v>
      </c>
      <c r="C105" s="496">
        <v>0.5</v>
      </c>
      <c r="D105" s="788" t="s">
        <v>758</v>
      </c>
      <c r="E105" s="791"/>
      <c r="F105" s="115"/>
      <c r="G105" s="202"/>
      <c r="H105" s="776"/>
    </row>
    <row r="106" spans="1:8" ht="12.75">
      <c r="A106" s="23">
        <f t="shared" si="6"/>
        <v>19</v>
      </c>
      <c r="B106" s="118" t="s">
        <v>786</v>
      </c>
      <c r="C106" s="496">
        <v>1</v>
      </c>
      <c r="D106" s="788" t="s">
        <v>752</v>
      </c>
      <c r="E106" s="791"/>
      <c r="F106" s="115"/>
      <c r="G106" s="202"/>
      <c r="H106" s="776"/>
    </row>
    <row r="107" spans="1:8" ht="12.75">
      <c r="A107" s="23">
        <f t="shared" si="6"/>
        <v>20</v>
      </c>
      <c r="B107" s="118" t="s">
        <v>787</v>
      </c>
      <c r="C107" s="496">
        <v>1</v>
      </c>
      <c r="D107" s="788" t="s">
        <v>217</v>
      </c>
      <c r="E107" s="791"/>
      <c r="F107" s="115"/>
      <c r="G107" s="202"/>
      <c r="H107" s="776"/>
    </row>
    <row r="108" spans="1:8" ht="12.75">
      <c r="A108" s="23">
        <f t="shared" si="6"/>
        <v>21</v>
      </c>
      <c r="B108" s="118" t="s">
        <v>788</v>
      </c>
      <c r="C108" s="496">
        <v>1</v>
      </c>
      <c r="D108" s="788" t="s">
        <v>217</v>
      </c>
      <c r="E108" s="790"/>
      <c r="F108" s="115"/>
      <c r="G108" s="202"/>
      <c r="H108" s="776"/>
    </row>
    <row r="109" spans="1:8" ht="12.75">
      <c r="A109" s="23">
        <f t="shared" si="6"/>
        <v>22</v>
      </c>
      <c r="B109" s="184" t="s">
        <v>789</v>
      </c>
      <c r="C109" s="496">
        <v>1.5</v>
      </c>
      <c r="D109" s="788" t="s">
        <v>739</v>
      </c>
      <c r="E109" s="790" t="s">
        <v>212</v>
      </c>
      <c r="F109" s="115"/>
      <c r="G109" s="202"/>
      <c r="H109" s="776"/>
    </row>
    <row r="110" spans="1:8" ht="12.75">
      <c r="A110" s="23">
        <f t="shared" si="6"/>
        <v>23</v>
      </c>
      <c r="B110" s="184" t="s">
        <v>790</v>
      </c>
      <c r="C110" s="496">
        <v>0.5</v>
      </c>
      <c r="D110" s="788" t="s">
        <v>739</v>
      </c>
      <c r="E110" s="789" t="s">
        <v>740</v>
      </c>
      <c r="F110" s="115"/>
      <c r="G110" s="202"/>
      <c r="H110" s="776"/>
    </row>
    <row r="111" spans="1:9" ht="12.75">
      <c r="A111" s="23">
        <f t="shared" si="6"/>
        <v>24</v>
      </c>
      <c r="B111" s="184" t="s">
        <v>791</v>
      </c>
      <c r="C111" s="496">
        <v>0.5</v>
      </c>
      <c r="D111" s="788" t="s">
        <v>739</v>
      </c>
      <c r="E111" s="789" t="s">
        <v>746</v>
      </c>
      <c r="F111" s="115"/>
      <c r="G111" s="202"/>
      <c r="H111" s="776"/>
      <c r="I111" s="215"/>
    </row>
    <row r="112" spans="1:8" ht="12.75">
      <c r="A112" s="23">
        <f t="shared" si="6"/>
        <v>25</v>
      </c>
      <c r="B112" s="118" t="s">
        <v>792</v>
      </c>
      <c r="C112" s="496">
        <v>0.5</v>
      </c>
      <c r="D112" s="788" t="s">
        <v>739</v>
      </c>
      <c r="E112" s="789" t="s">
        <v>747</v>
      </c>
      <c r="F112" s="115"/>
      <c r="G112" s="202"/>
      <c r="H112" s="778"/>
    </row>
    <row r="113" spans="1:8" ht="12.75">
      <c r="A113" s="23">
        <f t="shared" si="6"/>
        <v>26</v>
      </c>
      <c r="B113" s="118" t="s">
        <v>793</v>
      </c>
      <c r="C113" s="496">
        <v>0.5</v>
      </c>
      <c r="D113" s="788" t="s">
        <v>760</v>
      </c>
      <c r="E113" s="791"/>
      <c r="F113" s="115"/>
      <c r="G113" s="203"/>
      <c r="H113" s="776"/>
    </row>
    <row r="114" spans="1:8" ht="12.75">
      <c r="A114" s="23">
        <f t="shared" si="6"/>
        <v>27</v>
      </c>
      <c r="B114" s="118" t="s">
        <v>794</v>
      </c>
      <c r="C114" s="496">
        <v>1</v>
      </c>
      <c r="D114" s="788" t="s">
        <v>760</v>
      </c>
      <c r="E114" s="791"/>
      <c r="F114" s="115"/>
      <c r="G114" s="203"/>
      <c r="H114" s="776"/>
    </row>
    <row r="115" spans="1:8" ht="12.75">
      <c r="A115" s="23">
        <f t="shared" si="6"/>
        <v>28</v>
      </c>
      <c r="B115" s="118" t="s">
        <v>801</v>
      </c>
      <c r="C115" s="496">
        <v>1</v>
      </c>
      <c r="D115" s="788" t="s">
        <v>756</v>
      </c>
      <c r="E115" s="791"/>
      <c r="F115" s="115"/>
      <c r="G115" s="203"/>
      <c r="H115" s="776"/>
    </row>
    <row r="116" spans="1:8" ht="12.75">
      <c r="A116" s="23">
        <f t="shared" si="6"/>
        <v>29</v>
      </c>
      <c r="B116" s="118" t="s">
        <v>795</v>
      </c>
      <c r="C116" s="496">
        <v>1</v>
      </c>
      <c r="D116" s="788" t="s">
        <v>753</v>
      </c>
      <c r="E116" s="791"/>
      <c r="F116" s="115"/>
      <c r="G116" s="203"/>
      <c r="H116" s="776"/>
    </row>
    <row r="117" spans="1:8" ht="12.75">
      <c r="A117" s="23">
        <f t="shared" si="6"/>
        <v>30</v>
      </c>
      <c r="B117" s="184" t="s">
        <v>796</v>
      </c>
      <c r="C117" s="496">
        <v>0.5</v>
      </c>
      <c r="D117" s="788" t="s">
        <v>739</v>
      </c>
      <c r="E117" s="791"/>
      <c r="F117" s="115"/>
      <c r="G117" s="202"/>
      <c r="H117" s="776"/>
    </row>
    <row r="118" spans="1:8" ht="12.75">
      <c r="A118" s="23">
        <f t="shared" si="6"/>
        <v>31</v>
      </c>
      <c r="B118" s="184" t="s">
        <v>797</v>
      </c>
      <c r="C118" s="496">
        <v>1</v>
      </c>
      <c r="D118" s="788" t="s">
        <v>739</v>
      </c>
      <c r="E118" s="791"/>
      <c r="F118" s="115"/>
      <c r="G118" s="202"/>
      <c r="H118" s="776"/>
    </row>
    <row r="119" spans="1:8" ht="12.75">
      <c r="A119" s="23">
        <f t="shared" si="6"/>
        <v>32</v>
      </c>
      <c r="B119" s="118" t="s">
        <v>798</v>
      </c>
      <c r="C119" s="496">
        <v>1</v>
      </c>
      <c r="D119" s="788" t="s">
        <v>752</v>
      </c>
      <c r="E119" s="790"/>
      <c r="F119" s="115"/>
      <c r="G119" s="202"/>
      <c r="H119" s="776"/>
    </row>
    <row r="120" spans="1:8" ht="12.75">
      <c r="A120" s="23">
        <f t="shared" si="6"/>
        <v>33</v>
      </c>
      <c r="B120" s="118" t="s">
        <v>799</v>
      </c>
      <c r="C120" s="496">
        <v>1</v>
      </c>
      <c r="D120" s="788" t="s">
        <v>754</v>
      </c>
      <c r="E120" s="789" t="s">
        <v>740</v>
      </c>
      <c r="F120" s="115"/>
      <c r="G120" s="202"/>
      <c r="H120" s="776"/>
    </row>
    <row r="121" spans="1:8" ht="12.75">
      <c r="A121" s="23">
        <f t="shared" si="6"/>
        <v>34</v>
      </c>
      <c r="B121" s="118" t="s">
        <v>800</v>
      </c>
      <c r="C121" s="496">
        <v>1</v>
      </c>
      <c r="D121" s="788" t="s">
        <v>752</v>
      </c>
      <c r="E121" s="791"/>
      <c r="F121" s="115"/>
      <c r="G121" s="202"/>
      <c r="H121" s="776"/>
    </row>
    <row r="122" spans="1:8" ht="12.75">
      <c r="A122" s="23">
        <f t="shared" si="6"/>
        <v>35</v>
      </c>
      <c r="B122" s="184" t="s">
        <v>235</v>
      </c>
      <c r="C122" s="787">
        <v>0</v>
      </c>
      <c r="D122" s="788"/>
      <c r="E122" s="791"/>
      <c r="F122" s="115"/>
      <c r="G122" s="202"/>
      <c r="H122" s="776"/>
    </row>
    <row r="123" spans="1:8" ht="12.75">
      <c r="A123" s="23">
        <f t="shared" si="6"/>
        <v>36</v>
      </c>
      <c r="B123" s="72" t="s">
        <v>423</v>
      </c>
      <c r="C123" s="206">
        <v>0</v>
      </c>
      <c r="D123" s="493"/>
      <c r="E123" s="213"/>
      <c r="F123" s="34"/>
      <c r="G123" s="202"/>
      <c r="H123" s="776"/>
    </row>
    <row r="124" spans="1:8" ht="12.75">
      <c r="A124" s="26">
        <f t="shared" si="6"/>
        <v>37</v>
      </c>
      <c r="B124" s="27" t="s">
        <v>316</v>
      </c>
      <c r="C124" s="207">
        <v>0</v>
      </c>
      <c r="D124" s="494"/>
      <c r="E124" s="214"/>
      <c r="F124" s="32"/>
      <c r="G124" s="204"/>
      <c r="H124" s="776"/>
    </row>
    <row r="125" ht="12.75">
      <c r="E125" s="49"/>
    </row>
    <row r="126" spans="1:5" ht="12.75">
      <c r="A126" s="48">
        <v>3</v>
      </c>
      <c r="B126" s="28" t="s">
        <v>93</v>
      </c>
      <c r="C126" s="7" t="s">
        <v>95</v>
      </c>
      <c r="E126" s="49"/>
    </row>
    <row r="127" spans="1:3" ht="12.75">
      <c r="A127" s="19">
        <v>1</v>
      </c>
      <c r="B127" s="43" t="s">
        <v>207</v>
      </c>
      <c r="C127" s="112">
        <v>0</v>
      </c>
    </row>
    <row r="128" spans="1:3" ht="12.75">
      <c r="A128" s="23">
        <f aca="true" t="shared" si="7" ref="A128:A139">A127+1</f>
        <v>2</v>
      </c>
      <c r="B128" s="68" t="s">
        <v>15</v>
      </c>
      <c r="C128" s="109"/>
    </row>
    <row r="129" spans="1:3" ht="12.75">
      <c r="A129" s="23">
        <f t="shared" si="7"/>
        <v>3</v>
      </c>
      <c r="B129" s="3" t="s">
        <v>99</v>
      </c>
      <c r="C129" s="109">
        <v>1</v>
      </c>
    </row>
    <row r="130" spans="1:3" ht="12.75">
      <c r="A130" s="23">
        <f t="shared" si="7"/>
        <v>4</v>
      </c>
      <c r="B130" s="3" t="s">
        <v>100</v>
      </c>
      <c r="C130" s="109">
        <v>2</v>
      </c>
    </row>
    <row r="131" spans="1:3" ht="12.75">
      <c r="A131" s="23">
        <f t="shared" si="7"/>
        <v>5</v>
      </c>
      <c r="B131" s="3" t="s">
        <v>737</v>
      </c>
      <c r="C131" s="109">
        <v>2</v>
      </c>
    </row>
    <row r="132" spans="1:3" ht="12.75">
      <c r="A132" s="23">
        <f t="shared" si="7"/>
        <v>6</v>
      </c>
      <c r="B132" s="3" t="s">
        <v>106</v>
      </c>
      <c r="C132" s="109">
        <v>2</v>
      </c>
    </row>
    <row r="133" spans="1:3" ht="12.75">
      <c r="A133" s="23">
        <f t="shared" si="7"/>
        <v>7</v>
      </c>
      <c r="B133" s="3" t="s">
        <v>101</v>
      </c>
      <c r="C133" s="109">
        <v>1</v>
      </c>
    </row>
    <row r="134" spans="1:3" ht="12.75">
      <c r="A134" s="23">
        <f>A133+1</f>
        <v>8</v>
      </c>
      <c r="B134" s="3" t="s">
        <v>749</v>
      </c>
      <c r="C134" s="109">
        <v>2</v>
      </c>
    </row>
    <row r="135" spans="1:3" ht="12.75">
      <c r="A135" s="23">
        <f>A134+1</f>
        <v>9</v>
      </c>
      <c r="B135" s="3" t="s">
        <v>102</v>
      </c>
      <c r="C135" s="109">
        <v>1</v>
      </c>
    </row>
    <row r="136" spans="1:3" ht="12.75">
      <c r="A136" s="23">
        <f t="shared" si="7"/>
        <v>10</v>
      </c>
      <c r="B136" s="3" t="s">
        <v>738</v>
      </c>
      <c r="C136" s="109">
        <v>2</v>
      </c>
    </row>
    <row r="137" spans="1:3" ht="12.75">
      <c r="A137" s="23">
        <f t="shared" si="7"/>
        <v>11</v>
      </c>
      <c r="B137" s="3" t="s">
        <v>107</v>
      </c>
      <c r="C137" s="109">
        <v>1</v>
      </c>
    </row>
    <row r="138" spans="1:3" ht="12.75">
      <c r="A138" s="23">
        <f t="shared" si="7"/>
        <v>12</v>
      </c>
      <c r="B138" s="3" t="s">
        <v>103</v>
      </c>
      <c r="C138" s="109">
        <v>1</v>
      </c>
    </row>
    <row r="139" spans="1:3" ht="12.75">
      <c r="A139" s="23">
        <f t="shared" si="7"/>
        <v>13</v>
      </c>
      <c r="B139" s="3" t="s">
        <v>750</v>
      </c>
      <c r="C139" s="109">
        <v>2</v>
      </c>
    </row>
    <row r="140" spans="1:3" ht="12.75">
      <c r="A140" s="23">
        <f aca="true" t="shared" si="8" ref="A140:A146">A139+1</f>
        <v>14</v>
      </c>
      <c r="B140" s="3" t="s">
        <v>104</v>
      </c>
      <c r="C140" s="109">
        <v>1</v>
      </c>
    </row>
    <row r="141" spans="1:3" ht="12.75">
      <c r="A141" s="23">
        <f t="shared" si="8"/>
        <v>15</v>
      </c>
      <c r="B141" s="3" t="s">
        <v>751</v>
      </c>
      <c r="C141" s="109">
        <v>2</v>
      </c>
    </row>
    <row r="142" spans="1:3" ht="12.75">
      <c r="A142" s="23">
        <f t="shared" si="8"/>
        <v>16</v>
      </c>
      <c r="B142" s="68" t="s">
        <v>105</v>
      </c>
      <c r="C142" s="109">
        <v>2</v>
      </c>
    </row>
    <row r="143" spans="1:3" ht="12.75">
      <c r="A143" s="23">
        <f t="shared" si="8"/>
        <v>17</v>
      </c>
      <c r="B143" s="68" t="s">
        <v>684</v>
      </c>
      <c r="C143" s="109">
        <v>1</v>
      </c>
    </row>
    <row r="144" spans="1:3" ht="12.75">
      <c r="A144" s="23">
        <f t="shared" si="8"/>
        <v>18</v>
      </c>
      <c r="B144" s="68" t="s">
        <v>235</v>
      </c>
      <c r="C144" s="109">
        <v>0</v>
      </c>
    </row>
    <row r="145" spans="1:3" ht="12.75">
      <c r="A145" s="23">
        <f t="shared" si="8"/>
        <v>19</v>
      </c>
      <c r="B145" s="68" t="s">
        <v>423</v>
      </c>
      <c r="C145" s="109">
        <v>0</v>
      </c>
    </row>
    <row r="146" spans="1:3" ht="12.75">
      <c r="A146" s="26">
        <f t="shared" si="8"/>
        <v>20</v>
      </c>
      <c r="B146" s="27" t="s">
        <v>316</v>
      </c>
      <c r="C146" s="111">
        <v>0</v>
      </c>
    </row>
    <row r="147" spans="1:3" ht="12.75">
      <c r="A147" s="23"/>
      <c r="B147" s="6"/>
      <c r="C147" s="6"/>
    </row>
    <row r="148" spans="1:7" ht="12.75">
      <c r="A148" s="52">
        <v>4</v>
      </c>
      <c r="B148" s="28" t="s">
        <v>471</v>
      </c>
      <c r="C148" s="14" t="s">
        <v>169</v>
      </c>
      <c r="D148" s="15"/>
      <c r="E148" s="5"/>
      <c r="F148" s="5"/>
      <c r="G148" s="5"/>
    </row>
    <row r="149" spans="1:8" ht="12.75">
      <c r="A149" s="19">
        <v>1</v>
      </c>
      <c r="B149" s="121" t="s">
        <v>823</v>
      </c>
      <c r="C149" s="42">
        <v>1</v>
      </c>
      <c r="D149" s="23"/>
      <c r="E149" s="5"/>
      <c r="F149" s="5"/>
      <c r="G149" s="5"/>
      <c r="H149" s="5"/>
    </row>
    <row r="150" spans="1:8" ht="12.75">
      <c r="A150" s="23">
        <f aca="true" t="shared" si="9" ref="A150:A155">A149+1</f>
        <v>2</v>
      </c>
      <c r="B150" s="72" t="s">
        <v>824</v>
      </c>
      <c r="C150" s="42">
        <v>1</v>
      </c>
      <c r="D150" s="23"/>
      <c r="E150" s="5"/>
      <c r="F150" s="5"/>
      <c r="G150" s="5"/>
      <c r="H150" s="5"/>
    </row>
    <row r="151" spans="1:8" ht="12.75">
      <c r="A151" s="23">
        <f t="shared" si="9"/>
        <v>3</v>
      </c>
      <c r="B151" s="70" t="s">
        <v>825</v>
      </c>
      <c r="C151" s="42">
        <v>1.05</v>
      </c>
      <c r="D151" s="23"/>
      <c r="E151" s="5"/>
      <c r="F151" s="5"/>
      <c r="G151" s="5"/>
      <c r="H151" s="5"/>
    </row>
    <row r="152" spans="1:8" ht="12.75">
      <c r="A152" s="23">
        <f t="shared" si="9"/>
        <v>4</v>
      </c>
      <c r="B152" s="926" t="s">
        <v>826</v>
      </c>
      <c r="C152" s="42">
        <v>1.1</v>
      </c>
      <c r="D152" s="65"/>
      <c r="E152" s="5"/>
      <c r="F152" s="5"/>
      <c r="G152" s="5"/>
      <c r="H152" s="5"/>
    </row>
    <row r="153" spans="1:8" ht="12.75">
      <c r="A153" s="23">
        <f t="shared" si="9"/>
        <v>5</v>
      </c>
      <c r="B153" s="926" t="s">
        <v>827</v>
      </c>
      <c r="C153" s="42">
        <v>1.15</v>
      </c>
      <c r="D153" s="31"/>
      <c r="E153" s="66"/>
      <c r="F153" s="66"/>
      <c r="G153" s="66"/>
      <c r="H153" s="5"/>
    </row>
    <row r="154" spans="1:8" ht="12.75">
      <c r="A154" s="23">
        <f t="shared" si="9"/>
        <v>6</v>
      </c>
      <c r="B154" s="926" t="s">
        <v>828</v>
      </c>
      <c r="C154" s="100">
        <v>1.25</v>
      </c>
      <c r="D154" s="65"/>
      <c r="E154" s="5"/>
      <c r="F154" s="5"/>
      <c r="G154" s="5"/>
      <c r="H154" s="5"/>
    </row>
    <row r="155" spans="1:8" ht="12.75">
      <c r="A155" s="26">
        <f t="shared" si="9"/>
        <v>7</v>
      </c>
      <c r="B155" s="927" t="s">
        <v>829</v>
      </c>
      <c r="C155" s="71">
        <v>1.3</v>
      </c>
      <c r="D155" s="65"/>
      <c r="E155" s="5"/>
      <c r="F155" s="5"/>
      <c r="G155" s="5"/>
      <c r="H155" s="5"/>
    </row>
    <row r="156" ht="12.75"/>
    <row r="157" spans="1:2" ht="12.75">
      <c r="A157" s="38">
        <v>5</v>
      </c>
      <c r="B157" s="180" t="s">
        <v>16</v>
      </c>
    </row>
    <row r="158" spans="1:2" ht="12.75">
      <c r="A158" s="64">
        <v>1</v>
      </c>
      <c r="B158" s="115" t="s">
        <v>220</v>
      </c>
    </row>
    <row r="159" spans="1:2" ht="12.75">
      <c r="A159" s="26">
        <f>A158+1</f>
        <v>2</v>
      </c>
      <c r="B159" s="57" t="s">
        <v>221</v>
      </c>
    </row>
    <row r="160" ht="12.75"/>
    <row r="161" spans="1:2" ht="12.75">
      <c r="A161" s="38">
        <v>6</v>
      </c>
      <c r="B161" s="180" t="s">
        <v>17</v>
      </c>
    </row>
    <row r="162" spans="1:2" ht="12.75">
      <c r="A162" s="64">
        <v>1</v>
      </c>
      <c r="B162" s="96" t="s">
        <v>220</v>
      </c>
    </row>
    <row r="163" spans="1:2" ht="12.75">
      <c r="A163" s="26">
        <f>A162+1</f>
        <v>2</v>
      </c>
      <c r="B163" s="57" t="s">
        <v>221</v>
      </c>
    </row>
    <row r="164" ht="12.75"/>
    <row r="165" spans="1:5" ht="12.75">
      <c r="A165" s="58">
        <v>7</v>
      </c>
      <c r="B165" s="59" t="s">
        <v>18</v>
      </c>
      <c r="C165" s="8" t="s">
        <v>214</v>
      </c>
      <c r="D165" s="8" t="s">
        <v>136</v>
      </c>
      <c r="E165" s="11" t="s">
        <v>138</v>
      </c>
    </row>
    <row r="166" spans="1:5" ht="12.75">
      <c r="A166" s="19">
        <v>1</v>
      </c>
      <c r="B166" s="43" t="s">
        <v>207</v>
      </c>
      <c r="C166" s="4"/>
      <c r="D166" s="4"/>
      <c r="E166" s="18"/>
    </row>
    <row r="167" spans="1:5" ht="12.75">
      <c r="A167" s="23">
        <f aca="true" t="shared" si="10" ref="A167:A208">A166+1</f>
        <v>2</v>
      </c>
      <c r="B167" s="68" t="s">
        <v>15</v>
      </c>
      <c r="E167" s="34"/>
    </row>
    <row r="168" spans="1:10" ht="12.75">
      <c r="A168" s="23">
        <f t="shared" si="10"/>
        <v>3</v>
      </c>
      <c r="B168" s="3" t="s">
        <v>380</v>
      </c>
      <c r="C168" s="3">
        <v>4</v>
      </c>
      <c r="D168" s="3" t="s">
        <v>132</v>
      </c>
      <c r="E168" s="34">
        <v>20</v>
      </c>
      <c r="G168" s="118"/>
      <c r="H168" s="118"/>
      <c r="I168" s="118"/>
      <c r="J168" s="118"/>
    </row>
    <row r="169" spans="1:10" ht="12.75">
      <c r="A169" s="23">
        <f t="shared" si="10"/>
        <v>4</v>
      </c>
      <c r="B169" s="3" t="s">
        <v>381</v>
      </c>
      <c r="C169" s="3">
        <v>7</v>
      </c>
      <c r="D169" s="3" t="s">
        <v>132</v>
      </c>
      <c r="E169" s="69">
        <v>20</v>
      </c>
      <c r="G169" s="118"/>
      <c r="H169" s="118"/>
      <c r="I169" s="118"/>
      <c r="J169" s="118"/>
    </row>
    <row r="170" spans="1:10" ht="12.75">
      <c r="A170" s="23">
        <f t="shared" si="10"/>
        <v>5</v>
      </c>
      <c r="B170" s="3" t="s">
        <v>489</v>
      </c>
      <c r="C170" s="3">
        <v>5</v>
      </c>
      <c r="D170" s="3" t="s">
        <v>132</v>
      </c>
      <c r="E170" s="69">
        <v>20</v>
      </c>
      <c r="G170" s="118"/>
      <c r="H170" s="118"/>
      <c r="I170" s="118"/>
      <c r="J170" s="118"/>
    </row>
    <row r="171" spans="1:10" ht="12.75">
      <c r="A171" s="23">
        <f t="shared" si="10"/>
        <v>6</v>
      </c>
      <c r="B171" s="3" t="s">
        <v>382</v>
      </c>
      <c r="C171" s="3">
        <v>7</v>
      </c>
      <c r="D171" s="3" t="s">
        <v>132</v>
      </c>
      <c r="E171" s="34">
        <v>20</v>
      </c>
      <c r="G171" s="118"/>
      <c r="H171" s="118"/>
      <c r="I171" s="118"/>
      <c r="J171" s="118"/>
    </row>
    <row r="172" spans="1:10" ht="12.75">
      <c r="A172" s="23">
        <f t="shared" si="10"/>
        <v>7</v>
      </c>
      <c r="B172" s="3" t="s">
        <v>383</v>
      </c>
      <c r="C172" s="3">
        <v>25</v>
      </c>
      <c r="D172" s="3" t="s">
        <v>132</v>
      </c>
      <c r="E172" s="69">
        <v>20</v>
      </c>
      <c r="G172" s="118"/>
      <c r="H172" s="118"/>
      <c r="I172" s="118"/>
      <c r="J172" s="118"/>
    </row>
    <row r="173" spans="1:10" ht="12.75">
      <c r="A173" s="23">
        <f t="shared" si="10"/>
        <v>8</v>
      </c>
      <c r="B173" s="3" t="s">
        <v>384</v>
      </c>
      <c r="C173" s="3">
        <v>40</v>
      </c>
      <c r="D173" s="3" t="s">
        <v>132</v>
      </c>
      <c r="E173" s="69">
        <v>20</v>
      </c>
      <c r="G173" s="118"/>
      <c r="H173" s="118"/>
      <c r="I173" s="118"/>
      <c r="J173" s="118"/>
    </row>
    <row r="174" spans="1:10" ht="12.75">
      <c r="A174" s="23">
        <f t="shared" si="10"/>
        <v>9</v>
      </c>
      <c r="B174" s="3" t="s">
        <v>385</v>
      </c>
      <c r="C174" s="3">
        <v>30</v>
      </c>
      <c r="D174" s="3" t="s">
        <v>132</v>
      </c>
      <c r="E174" s="69">
        <v>20</v>
      </c>
      <c r="G174" s="118"/>
      <c r="H174" s="118"/>
      <c r="I174" s="118"/>
      <c r="J174" s="118"/>
    </row>
    <row r="175" spans="1:10" ht="12.75">
      <c r="A175" s="23">
        <f t="shared" si="10"/>
        <v>10</v>
      </c>
      <c r="B175" s="3" t="s">
        <v>386</v>
      </c>
      <c r="C175" s="3">
        <v>50</v>
      </c>
      <c r="D175" s="3" t="s">
        <v>132</v>
      </c>
      <c r="E175" s="69">
        <v>20</v>
      </c>
      <c r="G175" s="118"/>
      <c r="H175" s="118"/>
      <c r="I175" s="118"/>
      <c r="J175" s="118"/>
    </row>
    <row r="176" spans="1:10" ht="12.75">
      <c r="A176" s="23">
        <f t="shared" si="10"/>
        <v>11</v>
      </c>
      <c r="B176" s="3" t="s">
        <v>387</v>
      </c>
      <c r="C176" s="3">
        <v>40</v>
      </c>
      <c r="D176" s="3" t="s">
        <v>130</v>
      </c>
      <c r="E176" s="69">
        <v>4</v>
      </c>
      <c r="G176" s="118"/>
      <c r="H176" s="118"/>
      <c r="I176" s="118"/>
      <c r="J176" s="118"/>
    </row>
    <row r="177" spans="1:10" ht="12.75">
      <c r="A177" s="23">
        <f t="shared" si="10"/>
        <v>12</v>
      </c>
      <c r="B177" s="3" t="s">
        <v>388</v>
      </c>
      <c r="C177" s="3">
        <v>75</v>
      </c>
      <c r="D177" s="3" t="s">
        <v>131</v>
      </c>
      <c r="E177" s="69">
        <v>4</v>
      </c>
      <c r="G177" s="118"/>
      <c r="H177" s="118"/>
      <c r="I177" s="118"/>
      <c r="J177" s="118"/>
    </row>
    <row r="178" spans="1:10" ht="12.75">
      <c r="A178" s="23">
        <f t="shared" si="10"/>
        <v>13</v>
      </c>
      <c r="B178" s="3" t="s">
        <v>389</v>
      </c>
      <c r="C178" s="3">
        <v>150</v>
      </c>
      <c r="D178" s="3" t="s">
        <v>139</v>
      </c>
      <c r="E178" s="69">
        <v>4</v>
      </c>
      <c r="G178" s="118"/>
      <c r="H178" s="118"/>
      <c r="I178" s="118"/>
      <c r="J178" s="118"/>
    </row>
    <row r="179" spans="1:10" ht="12.75">
      <c r="A179" s="23">
        <f t="shared" si="10"/>
        <v>14</v>
      </c>
      <c r="B179" s="3" t="s">
        <v>390</v>
      </c>
      <c r="C179" s="3">
        <v>400</v>
      </c>
      <c r="D179" s="3" t="s">
        <v>139</v>
      </c>
      <c r="E179" s="69">
        <v>4</v>
      </c>
      <c r="G179" s="118"/>
      <c r="H179" s="118"/>
      <c r="I179" s="118"/>
      <c r="J179" s="118"/>
    </row>
    <row r="180" spans="1:10" ht="12.75">
      <c r="A180" s="23">
        <f t="shared" si="10"/>
        <v>15</v>
      </c>
      <c r="B180" s="3" t="s">
        <v>391</v>
      </c>
      <c r="C180" s="3">
        <v>500</v>
      </c>
      <c r="D180" s="3" t="s">
        <v>139</v>
      </c>
      <c r="E180" s="69">
        <v>4</v>
      </c>
      <c r="G180" s="118"/>
      <c r="H180" s="118"/>
      <c r="I180" s="118"/>
      <c r="J180" s="118"/>
    </row>
    <row r="181" spans="1:10" ht="12.75">
      <c r="A181" s="23">
        <f t="shared" si="10"/>
        <v>16</v>
      </c>
      <c r="B181" s="3" t="s">
        <v>392</v>
      </c>
      <c r="C181" s="3">
        <v>600</v>
      </c>
      <c r="D181" s="3" t="s">
        <v>139</v>
      </c>
      <c r="E181" s="69">
        <v>4</v>
      </c>
      <c r="G181" s="118"/>
      <c r="H181" s="118"/>
      <c r="I181" s="118"/>
      <c r="J181" s="118"/>
    </row>
    <row r="182" spans="1:10" ht="12.75">
      <c r="A182" s="23">
        <f t="shared" si="10"/>
        <v>17</v>
      </c>
      <c r="B182" s="3" t="s">
        <v>393</v>
      </c>
      <c r="C182" s="3">
        <v>700</v>
      </c>
      <c r="D182" s="3" t="s">
        <v>139</v>
      </c>
      <c r="E182" s="69">
        <v>4</v>
      </c>
      <c r="G182" s="118"/>
      <c r="H182" s="118"/>
      <c r="I182" s="118"/>
      <c r="J182" s="118"/>
    </row>
    <row r="183" spans="1:10" ht="12.75">
      <c r="A183" s="23">
        <f t="shared" si="10"/>
        <v>18</v>
      </c>
      <c r="B183" s="3" t="s">
        <v>394</v>
      </c>
      <c r="C183" s="3">
        <v>5</v>
      </c>
      <c r="D183" s="3" t="s">
        <v>129</v>
      </c>
      <c r="E183" s="69">
        <v>20</v>
      </c>
      <c r="G183" s="118"/>
      <c r="H183" s="118"/>
      <c r="I183" s="118"/>
      <c r="J183" s="118"/>
    </row>
    <row r="184" spans="1:10" ht="12.75">
      <c r="A184" s="23">
        <f>A183+1</f>
        <v>19</v>
      </c>
      <c r="B184" s="117" t="s">
        <v>376</v>
      </c>
      <c r="C184" s="3">
        <v>5</v>
      </c>
      <c r="D184" s="3" t="s">
        <v>377</v>
      </c>
      <c r="E184" s="34">
        <v>20</v>
      </c>
      <c r="G184" s="118"/>
      <c r="H184" s="118"/>
      <c r="I184" s="118"/>
      <c r="J184" s="118"/>
    </row>
    <row r="185" spans="1:10" ht="12.75">
      <c r="A185" s="23">
        <f>A184+1</f>
        <v>20</v>
      </c>
      <c r="B185" s="3" t="s">
        <v>395</v>
      </c>
      <c r="C185" s="3">
        <v>3</v>
      </c>
      <c r="D185" s="3" t="s">
        <v>129</v>
      </c>
      <c r="E185" s="69">
        <v>20</v>
      </c>
      <c r="G185" s="118"/>
      <c r="H185" s="118"/>
      <c r="I185" s="118"/>
      <c r="J185" s="118"/>
    </row>
    <row r="186" spans="1:10" ht="12.75">
      <c r="A186" s="23">
        <f t="shared" si="10"/>
        <v>21</v>
      </c>
      <c r="B186" s="3" t="s">
        <v>396</v>
      </c>
      <c r="C186" s="3">
        <v>6</v>
      </c>
      <c r="D186" s="3" t="s">
        <v>129</v>
      </c>
      <c r="E186" s="69">
        <v>20</v>
      </c>
      <c r="G186" s="118"/>
      <c r="H186" s="118"/>
      <c r="I186" s="118"/>
      <c r="J186" s="118"/>
    </row>
    <row r="187" spans="1:10" ht="12.75">
      <c r="A187" s="23">
        <f t="shared" si="10"/>
        <v>22</v>
      </c>
      <c r="B187" s="3" t="s">
        <v>397</v>
      </c>
      <c r="C187" s="3">
        <v>20</v>
      </c>
      <c r="D187" s="3" t="s">
        <v>130</v>
      </c>
      <c r="E187" s="69">
        <v>4</v>
      </c>
      <c r="G187" s="118"/>
      <c r="H187" s="118"/>
      <c r="I187" s="118"/>
      <c r="J187" s="118"/>
    </row>
    <row r="188" spans="1:10" ht="12.75">
      <c r="A188" s="23">
        <f t="shared" si="10"/>
        <v>23</v>
      </c>
      <c r="B188" s="3" t="s">
        <v>398</v>
      </c>
      <c r="C188" s="3">
        <v>30</v>
      </c>
      <c r="D188" s="3" t="s">
        <v>131</v>
      </c>
      <c r="E188" s="69">
        <v>4</v>
      </c>
      <c r="G188" s="118"/>
      <c r="H188" s="118"/>
      <c r="I188" s="118"/>
      <c r="J188" s="118"/>
    </row>
    <row r="189" spans="1:10" ht="12.75">
      <c r="A189" s="23">
        <f t="shared" si="10"/>
        <v>24</v>
      </c>
      <c r="B189" s="3" t="s">
        <v>399</v>
      </c>
      <c r="C189" s="3">
        <v>40</v>
      </c>
      <c r="D189" s="3" t="s">
        <v>139</v>
      </c>
      <c r="E189" s="69">
        <v>4</v>
      </c>
      <c r="G189" s="118"/>
      <c r="H189" s="118"/>
      <c r="I189" s="118"/>
      <c r="J189" s="118"/>
    </row>
    <row r="190" spans="1:10" ht="12.75">
      <c r="A190" s="23">
        <f t="shared" si="10"/>
        <v>25</v>
      </c>
      <c r="B190" s="3" t="s">
        <v>400</v>
      </c>
      <c r="C190" s="3">
        <v>50</v>
      </c>
      <c r="D190" s="3" t="s">
        <v>139</v>
      </c>
      <c r="E190" s="69">
        <v>4</v>
      </c>
      <c r="G190" s="118"/>
      <c r="H190" s="118"/>
      <c r="I190" s="118"/>
      <c r="J190" s="118"/>
    </row>
    <row r="191" spans="1:10" ht="12.75">
      <c r="A191" s="23">
        <f t="shared" si="10"/>
        <v>26</v>
      </c>
      <c r="B191" s="3" t="s">
        <v>401</v>
      </c>
      <c r="C191" s="3">
        <v>60</v>
      </c>
      <c r="D191" s="3" t="s">
        <v>139</v>
      </c>
      <c r="E191" s="69">
        <v>4</v>
      </c>
      <c r="G191" s="118"/>
      <c r="H191" s="118"/>
      <c r="I191" s="118"/>
      <c r="J191" s="118"/>
    </row>
    <row r="192" spans="1:10" ht="12.75">
      <c r="A192" s="23">
        <f t="shared" si="10"/>
        <v>27</v>
      </c>
      <c r="B192" s="3" t="s">
        <v>402</v>
      </c>
      <c r="C192" s="3">
        <v>250</v>
      </c>
      <c r="D192" s="3" t="s">
        <v>139</v>
      </c>
      <c r="E192" s="69">
        <v>4</v>
      </c>
      <c r="G192" s="118"/>
      <c r="H192" s="118"/>
      <c r="I192" s="118"/>
      <c r="J192" s="118"/>
    </row>
    <row r="193" spans="1:10" ht="12.75">
      <c r="A193" s="23">
        <f>A192+1</f>
        <v>28</v>
      </c>
      <c r="B193" s="3" t="s">
        <v>379</v>
      </c>
      <c r="C193" s="3">
        <v>2</v>
      </c>
      <c r="D193" s="3" t="s">
        <v>377</v>
      </c>
      <c r="E193" s="69">
        <v>20</v>
      </c>
      <c r="G193" s="118"/>
      <c r="H193" s="118"/>
      <c r="I193" s="118"/>
      <c r="J193" s="118"/>
    </row>
    <row r="194" spans="1:10" ht="12.75">
      <c r="A194" s="23">
        <f>A193+1</f>
        <v>29</v>
      </c>
      <c r="B194" s="3" t="s">
        <v>403</v>
      </c>
      <c r="C194" s="3">
        <v>1</v>
      </c>
      <c r="D194" s="3" t="s">
        <v>129</v>
      </c>
      <c r="E194" s="69">
        <v>20</v>
      </c>
      <c r="G194" s="118"/>
      <c r="H194" s="118"/>
      <c r="I194" s="118"/>
      <c r="J194" s="118"/>
    </row>
    <row r="195" spans="1:10" ht="12.75">
      <c r="A195" s="23">
        <f t="shared" si="10"/>
        <v>30</v>
      </c>
      <c r="B195" s="3" t="s">
        <v>404</v>
      </c>
      <c r="C195" s="3">
        <v>3</v>
      </c>
      <c r="D195" s="3" t="s">
        <v>129</v>
      </c>
      <c r="E195" s="69">
        <v>20</v>
      </c>
      <c r="G195" s="118"/>
      <c r="H195" s="118"/>
      <c r="I195" s="118"/>
      <c r="J195" s="118"/>
    </row>
    <row r="196" spans="1:10" ht="12.75">
      <c r="A196" s="23">
        <f t="shared" si="10"/>
        <v>31</v>
      </c>
      <c r="B196" s="3" t="s">
        <v>405</v>
      </c>
      <c r="C196" s="3">
        <v>10</v>
      </c>
      <c r="D196" s="3" t="s">
        <v>129</v>
      </c>
      <c r="E196" s="69">
        <v>20</v>
      </c>
      <c r="G196" s="118"/>
      <c r="H196" s="118"/>
      <c r="I196" s="118"/>
      <c r="J196" s="118"/>
    </row>
    <row r="197" spans="1:10" ht="12.75">
      <c r="A197" s="23">
        <f t="shared" si="10"/>
        <v>32</v>
      </c>
      <c r="B197" s="3" t="s">
        <v>378</v>
      </c>
      <c r="C197" s="3">
        <v>3</v>
      </c>
      <c r="D197" s="3" t="s">
        <v>129</v>
      </c>
      <c r="E197" s="69">
        <v>20</v>
      </c>
      <c r="G197" s="118"/>
      <c r="H197" s="118"/>
      <c r="I197" s="118"/>
      <c r="J197" s="118"/>
    </row>
    <row r="198" spans="1:10" ht="12.75">
      <c r="A198" s="23">
        <f t="shared" si="10"/>
        <v>33</v>
      </c>
      <c r="B198" s="3" t="s">
        <v>406</v>
      </c>
      <c r="C198" s="3">
        <v>4</v>
      </c>
      <c r="D198" s="3" t="s">
        <v>132</v>
      </c>
      <c r="E198" s="69">
        <v>20</v>
      </c>
      <c r="G198" s="118"/>
      <c r="H198" s="118"/>
      <c r="I198" s="118"/>
      <c r="J198" s="118"/>
    </row>
    <row r="199" spans="1:10" ht="12.75">
      <c r="A199" s="23">
        <f t="shared" si="10"/>
        <v>34</v>
      </c>
      <c r="B199" s="3" t="s">
        <v>407</v>
      </c>
      <c r="C199" s="3">
        <v>5</v>
      </c>
      <c r="D199" s="3" t="s">
        <v>132</v>
      </c>
      <c r="E199" s="69">
        <v>20</v>
      </c>
      <c r="G199" s="118"/>
      <c r="H199" s="118"/>
      <c r="I199" s="118"/>
      <c r="J199" s="118"/>
    </row>
    <row r="200" spans="1:10" ht="12.75">
      <c r="A200" s="23">
        <f t="shared" si="10"/>
        <v>35</v>
      </c>
      <c r="B200" s="3" t="s">
        <v>408</v>
      </c>
      <c r="C200" s="3">
        <v>3</v>
      </c>
      <c r="D200" s="3" t="s">
        <v>129</v>
      </c>
      <c r="E200" s="69">
        <v>20</v>
      </c>
      <c r="G200" s="118"/>
      <c r="H200" s="118"/>
      <c r="I200" s="118"/>
      <c r="J200" s="118"/>
    </row>
    <row r="201" spans="1:10" ht="12.75">
      <c r="A201" s="23">
        <f t="shared" si="10"/>
        <v>36</v>
      </c>
      <c r="B201" s="3" t="s">
        <v>409</v>
      </c>
      <c r="C201" s="3">
        <v>3</v>
      </c>
      <c r="D201" s="3" t="s">
        <v>139</v>
      </c>
      <c r="E201" s="69">
        <v>20</v>
      </c>
      <c r="G201" s="118"/>
      <c r="H201" s="118"/>
      <c r="I201" s="118"/>
      <c r="J201" s="118"/>
    </row>
    <row r="202" spans="1:10" ht="12.75">
      <c r="A202" s="23">
        <f t="shared" si="10"/>
        <v>37</v>
      </c>
      <c r="B202" s="3" t="s">
        <v>410</v>
      </c>
      <c r="C202" s="3">
        <v>30</v>
      </c>
      <c r="D202" s="3" t="s">
        <v>133</v>
      </c>
      <c r="E202" s="69">
        <v>20</v>
      </c>
      <c r="G202" s="118"/>
      <c r="H202" s="118"/>
      <c r="I202" s="118"/>
      <c r="J202" s="118"/>
    </row>
    <row r="203" spans="1:10" ht="12.75">
      <c r="A203" s="23">
        <f t="shared" si="10"/>
        <v>38</v>
      </c>
      <c r="B203" s="3" t="s">
        <v>411</v>
      </c>
      <c r="C203" s="3">
        <v>10</v>
      </c>
      <c r="D203" s="3" t="s">
        <v>134</v>
      </c>
      <c r="E203" s="69">
        <v>12</v>
      </c>
      <c r="G203" s="118"/>
      <c r="H203" s="118"/>
      <c r="I203" s="118"/>
      <c r="J203" s="118"/>
    </row>
    <row r="204" spans="1:10" ht="12.75">
      <c r="A204" s="23">
        <f t="shared" si="10"/>
        <v>39</v>
      </c>
      <c r="B204" s="3" t="s">
        <v>412</v>
      </c>
      <c r="C204" s="3">
        <v>15</v>
      </c>
      <c r="D204" s="3" t="s">
        <v>134</v>
      </c>
      <c r="E204" s="34">
        <v>12</v>
      </c>
      <c r="G204" s="119"/>
      <c r="H204" s="118"/>
      <c r="I204" s="118"/>
      <c r="J204" s="118"/>
    </row>
    <row r="205" spans="1:10" ht="12.75">
      <c r="A205" s="23">
        <f t="shared" si="10"/>
        <v>40</v>
      </c>
      <c r="B205" s="3" t="s">
        <v>413</v>
      </c>
      <c r="C205" s="3">
        <v>65</v>
      </c>
      <c r="D205" s="3" t="s">
        <v>134</v>
      </c>
      <c r="E205" s="69">
        <v>12</v>
      </c>
      <c r="G205" s="118"/>
      <c r="H205" s="118"/>
      <c r="I205" s="118"/>
      <c r="J205" s="118"/>
    </row>
    <row r="206" spans="1:10" ht="12.75">
      <c r="A206" s="23">
        <f t="shared" si="10"/>
        <v>41</v>
      </c>
      <c r="B206" s="3" t="s">
        <v>414</v>
      </c>
      <c r="C206" s="3">
        <v>200</v>
      </c>
      <c r="D206" s="3" t="s">
        <v>134</v>
      </c>
      <c r="E206" s="69">
        <v>12</v>
      </c>
      <c r="G206" s="118"/>
      <c r="H206" s="118"/>
      <c r="I206" s="118"/>
      <c r="J206" s="118"/>
    </row>
    <row r="207" spans="1:10" ht="12.75">
      <c r="A207" s="23">
        <f t="shared" si="10"/>
        <v>42</v>
      </c>
      <c r="B207" s="3" t="s">
        <v>415</v>
      </c>
      <c r="C207" s="3">
        <v>200</v>
      </c>
      <c r="D207" s="3" t="s">
        <v>134</v>
      </c>
      <c r="E207" s="69">
        <v>12</v>
      </c>
      <c r="G207" s="118"/>
      <c r="H207" s="118"/>
      <c r="I207" s="118"/>
      <c r="J207" s="118"/>
    </row>
    <row r="208" spans="1:10" ht="12.75">
      <c r="A208" s="23">
        <f t="shared" si="10"/>
        <v>43</v>
      </c>
      <c r="B208" s="3" t="s">
        <v>137</v>
      </c>
      <c r="C208" s="3">
        <v>30</v>
      </c>
      <c r="D208" s="3" t="s">
        <v>130</v>
      </c>
      <c r="E208" s="69">
        <v>12</v>
      </c>
      <c r="G208" s="118"/>
      <c r="H208" s="118"/>
      <c r="I208" s="118"/>
      <c r="J208" s="118"/>
    </row>
    <row r="209" spans="1:10" ht="12.75">
      <c r="A209" s="23">
        <f>A208+1</f>
        <v>44</v>
      </c>
      <c r="B209" s="3" t="s">
        <v>416</v>
      </c>
      <c r="C209" s="3">
        <v>7</v>
      </c>
      <c r="D209" s="3" t="s">
        <v>139</v>
      </c>
      <c r="E209" s="34">
        <v>20</v>
      </c>
      <c r="G209" s="118"/>
      <c r="H209" s="118"/>
      <c r="I209" s="118"/>
      <c r="J209" s="118"/>
    </row>
    <row r="210" spans="1:10" ht="12.75">
      <c r="A210" s="23">
        <f>A209+1</f>
        <v>45</v>
      </c>
      <c r="B210" s="3" t="s">
        <v>417</v>
      </c>
      <c r="C210" s="3">
        <v>10</v>
      </c>
      <c r="D210" s="3" t="s">
        <v>139</v>
      </c>
      <c r="E210" s="34">
        <v>20</v>
      </c>
      <c r="G210" s="118"/>
      <c r="H210" s="118"/>
      <c r="I210" s="118"/>
      <c r="J210" s="118"/>
    </row>
    <row r="211" spans="1:10" ht="12.75">
      <c r="A211" s="23">
        <f>A210+1</f>
        <v>46</v>
      </c>
      <c r="B211" s="3" t="s">
        <v>418</v>
      </c>
      <c r="C211" s="3">
        <v>15</v>
      </c>
      <c r="D211" s="3" t="s">
        <v>139</v>
      </c>
      <c r="E211" s="34">
        <v>20</v>
      </c>
      <c r="G211" s="118"/>
      <c r="H211" s="118"/>
      <c r="I211" s="118"/>
      <c r="J211" s="118"/>
    </row>
    <row r="212" spans="1:10" ht="12.75">
      <c r="A212" s="23">
        <f>A211+1</f>
        <v>47</v>
      </c>
      <c r="B212" s="3" t="s">
        <v>419</v>
      </c>
      <c r="C212" s="3">
        <v>15</v>
      </c>
      <c r="D212" s="3" t="s">
        <v>139</v>
      </c>
      <c r="E212" s="34">
        <v>20</v>
      </c>
      <c r="G212" s="118"/>
      <c r="H212" s="118"/>
      <c r="I212" s="118"/>
      <c r="J212" s="118"/>
    </row>
    <row r="213" spans="1:10" ht="12.75">
      <c r="A213" s="26">
        <f>A212+1</f>
        <v>48</v>
      </c>
      <c r="B213" s="6" t="s">
        <v>420</v>
      </c>
      <c r="C213" s="6">
        <v>5</v>
      </c>
      <c r="D213" s="6" t="s">
        <v>139</v>
      </c>
      <c r="E213" s="32">
        <v>20</v>
      </c>
      <c r="G213" s="118"/>
      <c r="H213" s="118"/>
      <c r="I213" s="118"/>
      <c r="J213" s="118"/>
    </row>
    <row r="214" spans="7:10" ht="12.75">
      <c r="G214" s="119"/>
      <c r="H214" s="118"/>
      <c r="I214" s="118"/>
      <c r="J214" s="118"/>
    </row>
    <row r="215" spans="1:10" ht="12.75">
      <c r="A215" s="38">
        <v>8</v>
      </c>
      <c r="B215" s="1" t="s">
        <v>172</v>
      </c>
      <c r="C215" s="23"/>
      <c r="G215" s="118"/>
      <c r="H215" s="118"/>
      <c r="I215" s="118"/>
      <c r="J215" s="118"/>
    </row>
    <row r="216" spans="1:3" ht="12.75">
      <c r="A216" s="19">
        <v>1</v>
      </c>
      <c r="B216" s="97" t="s">
        <v>207</v>
      </c>
      <c r="C216" s="18"/>
    </row>
    <row r="217" spans="1:3" ht="12.75">
      <c r="A217" s="23">
        <f aca="true" t="shared" si="11" ref="A217:A222">A216+1</f>
        <v>2</v>
      </c>
      <c r="B217" s="84" t="s">
        <v>15</v>
      </c>
      <c r="C217" s="34"/>
    </row>
    <row r="218" spans="1:3" ht="12.75">
      <c r="A218" s="23">
        <f t="shared" si="11"/>
        <v>3</v>
      </c>
      <c r="B218" s="15" t="s">
        <v>170</v>
      </c>
      <c r="C218" s="34"/>
    </row>
    <row r="219" spans="1:3" ht="12.75">
      <c r="A219" s="23">
        <f t="shared" si="11"/>
        <v>4</v>
      </c>
      <c r="B219" s="98" t="s">
        <v>486</v>
      </c>
      <c r="C219" s="34"/>
    </row>
    <row r="220" spans="1:3" ht="12.75">
      <c r="A220" s="23">
        <f t="shared" si="11"/>
        <v>5</v>
      </c>
      <c r="B220" s="98" t="s">
        <v>228</v>
      </c>
      <c r="C220" s="34"/>
    </row>
    <row r="221" spans="1:3" ht="12.75">
      <c r="A221" s="23">
        <f t="shared" si="11"/>
        <v>6</v>
      </c>
      <c r="B221" s="98" t="s">
        <v>487</v>
      </c>
      <c r="C221" s="34"/>
    </row>
    <row r="222" spans="1:3" ht="12.75">
      <c r="A222" s="26">
        <f t="shared" si="11"/>
        <v>7</v>
      </c>
      <c r="B222" s="99" t="s">
        <v>488</v>
      </c>
      <c r="C222" s="32"/>
    </row>
    <row r="224" spans="1:6" ht="12.75">
      <c r="A224" s="38">
        <v>9</v>
      </c>
      <c r="B224" s="20" t="s">
        <v>173</v>
      </c>
      <c r="C224" s="39" t="s">
        <v>525</v>
      </c>
      <c r="D224" s="7" t="s">
        <v>713</v>
      </c>
      <c r="E224" s="799"/>
      <c r="F224" s="799"/>
    </row>
    <row r="225" spans="1:6" ht="12.75">
      <c r="A225" s="19">
        <v>1</v>
      </c>
      <c r="B225" s="43" t="s">
        <v>207</v>
      </c>
      <c r="C225" s="4"/>
      <c r="D225" s="18"/>
      <c r="E225" s="799"/>
      <c r="F225" s="799"/>
    </row>
    <row r="226" spans="1:6" ht="12.75">
      <c r="A226" s="23">
        <f aca="true" t="shared" si="12" ref="A226:A231">A225+1</f>
        <v>2</v>
      </c>
      <c r="B226" s="5" t="s">
        <v>519</v>
      </c>
      <c r="C226" s="153">
        <v>1</v>
      </c>
      <c r="D226" s="126">
        <v>0.866</v>
      </c>
      <c r="E226" s="800"/>
      <c r="F226" s="800"/>
    </row>
    <row r="227" spans="1:6" ht="12.75">
      <c r="A227" s="23">
        <f t="shared" si="12"/>
        <v>3</v>
      </c>
      <c r="B227" s="5" t="s">
        <v>712</v>
      </c>
      <c r="C227" s="153">
        <v>2</v>
      </c>
      <c r="D227" s="126">
        <v>3.464</v>
      </c>
      <c r="E227" s="800"/>
      <c r="F227" s="800"/>
    </row>
    <row r="228" spans="1:6" ht="12.75">
      <c r="A228" s="23">
        <f t="shared" si="12"/>
        <v>4</v>
      </c>
      <c r="B228" s="155" t="s">
        <v>526</v>
      </c>
      <c r="C228" s="153">
        <v>4</v>
      </c>
      <c r="D228" s="126">
        <v>13.856</v>
      </c>
      <c r="E228" s="800"/>
      <c r="F228" s="800"/>
    </row>
    <row r="229" spans="1:6" ht="12.75">
      <c r="A229" s="23">
        <f t="shared" si="12"/>
        <v>5</v>
      </c>
      <c r="B229" s="157" t="s">
        <v>174</v>
      </c>
      <c r="C229" s="158">
        <v>8</v>
      </c>
      <c r="D229" s="159">
        <v>55.426</v>
      </c>
      <c r="E229" s="801"/>
      <c r="F229" s="801"/>
    </row>
    <row r="230" spans="1:6" ht="12.75">
      <c r="A230" s="23">
        <f t="shared" si="12"/>
        <v>6</v>
      </c>
      <c r="B230" s="156" t="s">
        <v>175</v>
      </c>
      <c r="C230" s="153">
        <v>24</v>
      </c>
      <c r="D230" s="126">
        <v>498.831</v>
      </c>
      <c r="E230" s="800"/>
      <c r="F230" s="800"/>
    </row>
    <row r="231" spans="1:6" ht="12.75">
      <c r="A231" s="26">
        <f t="shared" si="12"/>
        <v>7</v>
      </c>
      <c r="B231" s="142" t="s">
        <v>176</v>
      </c>
      <c r="C231" s="154">
        <v>72</v>
      </c>
      <c r="D231" s="127">
        <v>4489.476</v>
      </c>
      <c r="E231" s="800"/>
      <c r="F231" s="800"/>
    </row>
    <row r="233" spans="1:6" ht="12.75">
      <c r="A233" s="38">
        <v>10</v>
      </c>
      <c r="B233" s="37" t="s">
        <v>188</v>
      </c>
      <c r="C233" s="40" t="s">
        <v>438</v>
      </c>
      <c r="D233" s="14"/>
      <c r="E233" s="2"/>
      <c r="F233" s="23"/>
    </row>
    <row r="234" spans="1:6" ht="12.75">
      <c r="A234" s="23">
        <v>1</v>
      </c>
      <c r="B234" s="16" t="s">
        <v>207</v>
      </c>
      <c r="C234" s="67"/>
      <c r="D234" s="41"/>
      <c r="E234" s="5"/>
      <c r="F234" s="23"/>
    </row>
    <row r="235" spans="1:7" ht="12.75">
      <c r="A235" s="185">
        <f aca="true" t="shared" si="13" ref="A235:A262">A234+1</f>
        <v>2</v>
      </c>
      <c r="B235" s="186" t="s">
        <v>710</v>
      </c>
      <c r="C235" s="187" t="s">
        <v>709</v>
      </c>
      <c r="D235" s="188"/>
      <c r="E235" s="186"/>
      <c r="F235" s="23"/>
      <c r="G235" s="5"/>
    </row>
    <row r="236" spans="1:7" ht="12.75">
      <c r="A236" s="189">
        <f>A235+1</f>
        <v>3</v>
      </c>
      <c r="B236" s="190" t="s">
        <v>299</v>
      </c>
      <c r="C236" s="199" t="s">
        <v>706</v>
      </c>
      <c r="D236" s="192"/>
      <c r="E236" s="190"/>
      <c r="F236" s="23"/>
      <c r="G236" s="5"/>
    </row>
    <row r="237" spans="1:7" ht="12.75">
      <c r="A237" s="23">
        <f>A236+1</f>
        <v>4</v>
      </c>
      <c r="B237" s="34" t="s">
        <v>301</v>
      </c>
      <c r="C237" s="76" t="s">
        <v>709</v>
      </c>
      <c r="D237" s="75"/>
      <c r="E237" s="5"/>
      <c r="F237" s="23"/>
      <c r="G237" s="5"/>
    </row>
    <row r="238" spans="1:7" ht="12.75">
      <c r="A238" s="23">
        <f>A237+1</f>
        <v>5</v>
      </c>
      <c r="B238" s="34" t="s">
        <v>300</v>
      </c>
      <c r="C238" s="76"/>
      <c r="D238" s="75"/>
      <c r="E238" s="5"/>
      <c r="F238" s="23"/>
      <c r="G238" s="5"/>
    </row>
    <row r="239" spans="1:7" ht="12.75">
      <c r="A239" s="23">
        <f>A238+1</f>
        <v>6</v>
      </c>
      <c r="B239" s="34" t="s">
        <v>304</v>
      </c>
      <c r="C239" s="76"/>
      <c r="D239" s="75"/>
      <c r="E239" s="5"/>
      <c r="F239" s="23"/>
      <c r="G239" s="5"/>
    </row>
    <row r="240" spans="1:6" ht="12.75">
      <c r="A240" s="185">
        <f>A239+1</f>
        <v>7</v>
      </c>
      <c r="B240" s="186" t="s">
        <v>305</v>
      </c>
      <c r="C240" s="193"/>
      <c r="D240" s="194"/>
      <c r="E240" s="186"/>
      <c r="F240" s="23"/>
    </row>
    <row r="241" spans="1:6" ht="12.75">
      <c r="A241" s="189">
        <f t="shared" si="13"/>
        <v>8</v>
      </c>
      <c r="B241" s="190" t="s">
        <v>707</v>
      </c>
      <c r="C241" s="195" t="s">
        <v>441</v>
      </c>
      <c r="D241" s="196"/>
      <c r="E241" s="190"/>
      <c r="F241" s="23"/>
    </row>
    <row r="242" spans="1:6" ht="12.75">
      <c r="A242" s="23">
        <f t="shared" si="13"/>
        <v>9</v>
      </c>
      <c r="B242" s="56" t="s">
        <v>302</v>
      </c>
      <c r="C242" s="23" t="s">
        <v>708</v>
      </c>
      <c r="D242" s="5"/>
      <c r="E242" s="5"/>
      <c r="F242" s="23"/>
    </row>
    <row r="243" spans="1:6" ht="12.75">
      <c r="A243" s="23">
        <f t="shared" si="13"/>
        <v>10</v>
      </c>
      <c r="B243" s="34" t="s">
        <v>190</v>
      </c>
      <c r="C243" s="23" t="s">
        <v>204</v>
      </c>
      <c r="D243" s="5"/>
      <c r="E243" s="5"/>
      <c r="F243" s="23"/>
    </row>
    <row r="244" spans="1:6" ht="12.75">
      <c r="A244" s="185">
        <f t="shared" si="13"/>
        <v>11</v>
      </c>
      <c r="B244" s="186" t="s">
        <v>191</v>
      </c>
      <c r="C244" s="197"/>
      <c r="D244" s="198"/>
      <c r="E244" s="186"/>
      <c r="F244" s="23"/>
    </row>
    <row r="245" spans="1:6" ht="12.75">
      <c r="A245" s="189">
        <f t="shared" si="13"/>
        <v>12</v>
      </c>
      <c r="B245" s="190" t="s">
        <v>192</v>
      </c>
      <c r="C245" s="199" t="s">
        <v>437</v>
      </c>
      <c r="D245" s="192"/>
      <c r="E245" s="190"/>
      <c r="F245" s="23"/>
    </row>
    <row r="246" spans="1:6" ht="12.75">
      <c r="A246" s="23">
        <f t="shared" si="13"/>
        <v>13</v>
      </c>
      <c r="B246" s="34" t="s">
        <v>193</v>
      </c>
      <c r="C246" s="65" t="s">
        <v>442</v>
      </c>
      <c r="D246" s="41"/>
      <c r="E246" s="34"/>
      <c r="F246" s="23"/>
    </row>
    <row r="247" spans="1:6" ht="12.75">
      <c r="A247" s="23">
        <f t="shared" si="13"/>
        <v>14</v>
      </c>
      <c r="B247" s="34" t="s">
        <v>194</v>
      </c>
      <c r="C247" s="23"/>
      <c r="D247" s="5"/>
      <c r="E247" s="34"/>
      <c r="F247" s="23"/>
    </row>
    <row r="248" spans="1:6" ht="12.75">
      <c r="A248" s="185">
        <f t="shared" si="13"/>
        <v>15</v>
      </c>
      <c r="B248" s="200" t="s">
        <v>303</v>
      </c>
      <c r="C248" s="185" t="s">
        <v>205</v>
      </c>
      <c r="D248" s="188"/>
      <c r="E248" s="186"/>
      <c r="F248" s="23"/>
    </row>
    <row r="249" spans="1:6" ht="12.75">
      <c r="A249" s="189">
        <f t="shared" si="13"/>
        <v>16</v>
      </c>
      <c r="B249" s="201" t="s">
        <v>224</v>
      </c>
      <c r="C249" s="191" t="s">
        <v>440</v>
      </c>
      <c r="D249" s="192"/>
      <c r="E249" s="190"/>
      <c r="F249" s="23"/>
    </row>
    <row r="250" spans="1:6" ht="12.75">
      <c r="A250" s="23">
        <f>A249+1</f>
        <v>17</v>
      </c>
      <c r="B250" s="56" t="s">
        <v>223</v>
      </c>
      <c r="C250" s="23" t="s">
        <v>439</v>
      </c>
      <c r="D250" s="5"/>
      <c r="E250" s="5"/>
      <c r="F250" s="23"/>
    </row>
    <row r="251" spans="1:6" ht="12.75">
      <c r="A251" s="23">
        <f>A250+1</f>
        <v>18</v>
      </c>
      <c r="B251" s="56" t="s">
        <v>225</v>
      </c>
      <c r="C251" s="44"/>
      <c r="D251" s="5"/>
      <c r="E251" s="5"/>
      <c r="F251" s="23"/>
    </row>
    <row r="252" spans="1:6" ht="12.75">
      <c r="A252" s="23">
        <f>A251+1</f>
        <v>19</v>
      </c>
      <c r="B252" s="56" t="s">
        <v>203</v>
      </c>
      <c r="C252" s="44"/>
      <c r="D252" s="5"/>
      <c r="E252" s="5"/>
      <c r="F252" s="23"/>
    </row>
    <row r="253" spans="1:6" ht="12.75">
      <c r="A253" s="23">
        <f>A252+1</f>
        <v>20</v>
      </c>
      <c r="B253" s="34" t="s">
        <v>196</v>
      </c>
      <c r="C253" s="23"/>
      <c r="D253" s="5"/>
      <c r="E253" s="5"/>
      <c r="F253" s="23"/>
    </row>
    <row r="254" spans="1:6" ht="12.75">
      <c r="A254" s="23">
        <f t="shared" si="13"/>
        <v>21</v>
      </c>
      <c r="B254" s="34" t="s">
        <v>200</v>
      </c>
      <c r="C254" s="23"/>
      <c r="D254" s="5"/>
      <c r="E254" s="5"/>
      <c r="F254" s="23"/>
    </row>
    <row r="255" spans="1:6" ht="12.75">
      <c r="A255" s="23">
        <f t="shared" si="13"/>
        <v>22</v>
      </c>
      <c r="B255" s="34" t="s">
        <v>199</v>
      </c>
      <c r="C255" s="23"/>
      <c r="D255" s="5"/>
      <c r="E255" s="5"/>
      <c r="F255" s="23"/>
    </row>
    <row r="256" spans="1:6" ht="12.75">
      <c r="A256" s="23">
        <f>A255+1</f>
        <v>23</v>
      </c>
      <c r="B256" s="34" t="s">
        <v>281</v>
      </c>
      <c r="C256" s="23"/>
      <c r="D256" s="5"/>
      <c r="E256" s="5"/>
      <c r="F256" s="23"/>
    </row>
    <row r="257" spans="1:6" ht="12.75">
      <c r="A257" s="23">
        <f>A256+1</f>
        <v>24</v>
      </c>
      <c r="B257" s="34" t="s">
        <v>202</v>
      </c>
      <c r="C257" s="23"/>
      <c r="D257" s="5"/>
      <c r="E257" s="5"/>
      <c r="F257" s="23"/>
    </row>
    <row r="258" spans="1:6" ht="12.75">
      <c r="A258" s="23">
        <f>A257+1</f>
        <v>25</v>
      </c>
      <c r="B258" s="56" t="s">
        <v>226</v>
      </c>
      <c r="C258" s="23"/>
      <c r="D258" s="5"/>
      <c r="E258" s="5"/>
      <c r="F258" s="23"/>
    </row>
    <row r="259" spans="1:6" ht="12.75">
      <c r="A259" s="23">
        <f>A258+1</f>
        <v>26</v>
      </c>
      <c r="B259" s="34" t="s">
        <v>195</v>
      </c>
      <c r="C259" s="23"/>
      <c r="D259" s="5"/>
      <c r="E259" s="5"/>
      <c r="F259" s="23"/>
    </row>
    <row r="260" spans="1:6" ht="12.75">
      <c r="A260" s="23">
        <f t="shared" si="13"/>
        <v>27</v>
      </c>
      <c r="B260" s="34" t="s">
        <v>197</v>
      </c>
      <c r="C260" s="23"/>
      <c r="D260" s="5"/>
      <c r="E260" s="5"/>
      <c r="F260" s="23"/>
    </row>
    <row r="261" spans="1:6" ht="12.75">
      <c r="A261" s="23">
        <f t="shared" si="13"/>
        <v>28</v>
      </c>
      <c r="B261" s="34" t="s">
        <v>198</v>
      </c>
      <c r="C261" s="23"/>
      <c r="D261" s="5"/>
      <c r="E261" s="5"/>
      <c r="F261" s="23"/>
    </row>
    <row r="262" spans="1:6" ht="12.75">
      <c r="A262" s="26">
        <f t="shared" si="13"/>
        <v>29</v>
      </c>
      <c r="B262" s="32" t="s">
        <v>201</v>
      </c>
      <c r="C262" s="26"/>
      <c r="D262" s="6"/>
      <c r="E262" s="6"/>
      <c r="F262" s="23"/>
    </row>
    <row r="264" spans="1:4" ht="12.75">
      <c r="A264" s="38">
        <v>11</v>
      </c>
      <c r="B264" s="7" t="s">
        <v>19</v>
      </c>
      <c r="C264" s="104" t="s">
        <v>270</v>
      </c>
      <c r="D264" s="113" t="s">
        <v>317</v>
      </c>
    </row>
    <row r="265" spans="1:4" ht="12.75">
      <c r="A265" s="23">
        <v>1</v>
      </c>
      <c r="B265" s="74" t="s">
        <v>207</v>
      </c>
      <c r="C265" s="105" t="s">
        <v>207</v>
      </c>
      <c r="D265" s="160"/>
    </row>
    <row r="266" spans="1:4" ht="12.75">
      <c r="A266" s="23">
        <f aca="true" t="shared" si="14" ref="A266:A290">A265+1</f>
        <v>2</v>
      </c>
      <c r="B266" s="184" t="s">
        <v>15</v>
      </c>
      <c r="C266" s="106" t="s">
        <v>207</v>
      </c>
      <c r="D266" s="161"/>
    </row>
    <row r="267" spans="1:3" ht="12.75">
      <c r="A267" s="23">
        <f t="shared" si="14"/>
        <v>3</v>
      </c>
      <c r="B267" s="91" t="s">
        <v>341</v>
      </c>
      <c r="C267" s="60">
        <f>35479*80/100</f>
        <v>28383.2</v>
      </c>
    </row>
    <row r="268" spans="1:4" ht="12.75">
      <c r="A268" s="23">
        <f t="shared" si="14"/>
        <v>4</v>
      </c>
      <c r="B268" s="91" t="s">
        <v>846</v>
      </c>
      <c r="C268" s="61">
        <f>C267*50/100</f>
        <v>14191.6</v>
      </c>
      <c r="D268" s="114">
        <f>35479*50/100</f>
        <v>17739.5</v>
      </c>
    </row>
    <row r="269" spans="1:4" ht="12.75">
      <c r="A269" s="23">
        <f t="shared" si="14"/>
        <v>5</v>
      </c>
      <c r="B269" s="91" t="s">
        <v>847</v>
      </c>
      <c r="C269" s="62">
        <f>C267*90/100</f>
        <v>25544.88</v>
      </c>
      <c r="D269" s="62">
        <f>35479*10/100</f>
        <v>3547.9</v>
      </c>
    </row>
    <row r="270" spans="1:3" ht="12.75">
      <c r="A270" s="23">
        <f t="shared" si="14"/>
        <v>6</v>
      </c>
      <c r="B270" s="91" t="s">
        <v>115</v>
      </c>
      <c r="C270" s="85">
        <f>35479*45/100</f>
        <v>15965.55</v>
      </c>
    </row>
    <row r="271" spans="1:4" ht="12.75">
      <c r="A271" s="23">
        <f t="shared" si="14"/>
        <v>7</v>
      </c>
      <c r="B271" s="91" t="s">
        <v>848</v>
      </c>
      <c r="C271" s="162">
        <f>C270*50/100</f>
        <v>7982.775</v>
      </c>
      <c r="D271" s="114">
        <f>35479*50/100</f>
        <v>17739.5</v>
      </c>
    </row>
    <row r="272" spans="1:4" ht="12.75">
      <c r="A272" s="23">
        <f t="shared" si="14"/>
        <v>8</v>
      </c>
      <c r="B272" s="91" t="s">
        <v>849</v>
      </c>
      <c r="C272" s="163">
        <f>C270*90/100</f>
        <v>14368.995</v>
      </c>
      <c r="D272" s="62">
        <f>35479*10/100</f>
        <v>3547.9</v>
      </c>
    </row>
    <row r="273" spans="1:3" ht="12.75">
      <c r="A273" s="23">
        <f aca="true" t="shared" si="15" ref="A273:A279">A272+1</f>
        <v>9</v>
      </c>
      <c r="B273" s="91" t="s">
        <v>116</v>
      </c>
      <c r="C273" s="85">
        <f>35479*45/100</f>
        <v>15965.55</v>
      </c>
    </row>
    <row r="274" spans="1:4" ht="12.75">
      <c r="A274" s="23">
        <f t="shared" si="15"/>
        <v>10</v>
      </c>
      <c r="B274" s="91" t="s">
        <v>850</v>
      </c>
      <c r="C274" s="162">
        <f>C273*50/100</f>
        <v>7982.775</v>
      </c>
      <c r="D274" s="114">
        <f>35479*50/100</f>
        <v>17739.5</v>
      </c>
    </row>
    <row r="275" spans="1:4" ht="12.75">
      <c r="A275" s="23">
        <f t="shared" si="15"/>
        <v>11</v>
      </c>
      <c r="B275" s="91" t="s">
        <v>851</v>
      </c>
      <c r="C275" s="62">
        <f>C273*90/100</f>
        <v>14368.995</v>
      </c>
      <c r="D275" s="62">
        <f>35479*10/100</f>
        <v>3547.9</v>
      </c>
    </row>
    <row r="276" spans="1:3" ht="12.75">
      <c r="A276" s="23">
        <f t="shared" si="15"/>
        <v>12</v>
      </c>
      <c r="B276" s="91" t="s">
        <v>222</v>
      </c>
      <c r="C276" s="63">
        <f>35479*40/100</f>
        <v>14191.6</v>
      </c>
    </row>
    <row r="277" spans="1:4" ht="12.75">
      <c r="A277" s="23">
        <f t="shared" si="15"/>
        <v>13</v>
      </c>
      <c r="B277" s="91" t="s">
        <v>852</v>
      </c>
      <c r="C277" s="61">
        <f>C276*50/100</f>
        <v>7095.8</v>
      </c>
      <c r="D277" s="114">
        <f>35479*50/100</f>
        <v>17739.5</v>
      </c>
    </row>
    <row r="278" spans="1:4" ht="12.75">
      <c r="A278" s="23">
        <f t="shared" si="15"/>
        <v>14</v>
      </c>
      <c r="B278" s="91" t="s">
        <v>853</v>
      </c>
      <c r="C278" s="62">
        <f>C276*90/100</f>
        <v>12772.44</v>
      </c>
      <c r="D278" s="62">
        <f>35479*10/100</f>
        <v>3547.9</v>
      </c>
    </row>
    <row r="279" spans="1:3" ht="12.75">
      <c r="A279" s="23">
        <f t="shared" si="15"/>
        <v>15</v>
      </c>
      <c r="B279" s="91" t="s">
        <v>532</v>
      </c>
      <c r="C279" s="63">
        <f>35479*8/100</f>
        <v>2838.32</v>
      </c>
    </row>
    <row r="280" spans="1:4" ht="12.75">
      <c r="A280" s="23">
        <f t="shared" si="14"/>
        <v>16</v>
      </c>
      <c r="B280" s="91" t="s">
        <v>854</v>
      </c>
      <c r="C280" s="61">
        <f>C279*50/100</f>
        <v>1419.16</v>
      </c>
      <c r="D280" s="114">
        <f>35479*50/100</f>
        <v>17739.5</v>
      </c>
    </row>
    <row r="281" spans="1:4" ht="12.75">
      <c r="A281" s="23">
        <f t="shared" si="14"/>
        <v>17</v>
      </c>
      <c r="B281" s="91" t="s">
        <v>855</v>
      </c>
      <c r="C281" s="62">
        <f>C279*90/100</f>
        <v>2554.4880000000003</v>
      </c>
      <c r="D281" s="62">
        <f>35479*10/100</f>
        <v>3547.9</v>
      </c>
    </row>
    <row r="282" spans="1:3" ht="12.75">
      <c r="A282" s="23">
        <f t="shared" si="14"/>
        <v>18</v>
      </c>
      <c r="B282" s="91" t="s">
        <v>533</v>
      </c>
      <c r="C282" s="63">
        <f>35479*20/100</f>
        <v>7095.8</v>
      </c>
    </row>
    <row r="283" spans="1:4" ht="12.75">
      <c r="A283" s="23">
        <f t="shared" si="14"/>
        <v>19</v>
      </c>
      <c r="B283" s="91" t="s">
        <v>856</v>
      </c>
      <c r="C283" s="61">
        <f>C282*50/100</f>
        <v>3547.9</v>
      </c>
      <c r="D283" s="114">
        <f>35479*50/100</f>
        <v>17739.5</v>
      </c>
    </row>
    <row r="284" spans="1:4" ht="12.75">
      <c r="A284" s="23">
        <f t="shared" si="14"/>
        <v>20</v>
      </c>
      <c r="B284" s="91" t="s">
        <v>857</v>
      </c>
      <c r="C284" s="62">
        <f>C282*90/100</f>
        <v>6386.22</v>
      </c>
      <c r="D284" s="62">
        <f>35479*10/100</f>
        <v>3547.9</v>
      </c>
    </row>
    <row r="285" spans="1:3" ht="12.75">
      <c r="A285" s="23">
        <f t="shared" si="14"/>
        <v>21</v>
      </c>
      <c r="B285" s="91" t="s">
        <v>534</v>
      </c>
      <c r="C285" s="63">
        <f>35479*20/100</f>
        <v>7095.8</v>
      </c>
    </row>
    <row r="286" spans="1:4" ht="12.75">
      <c r="A286" s="23">
        <f t="shared" si="14"/>
        <v>22</v>
      </c>
      <c r="B286" s="91" t="s">
        <v>858</v>
      </c>
      <c r="C286" s="61">
        <f>C285*50/100</f>
        <v>3547.9</v>
      </c>
      <c r="D286" s="114">
        <f>35479*50/100</f>
        <v>17739.5</v>
      </c>
    </row>
    <row r="287" spans="1:4" ht="12.75">
      <c r="A287" s="23">
        <f t="shared" si="14"/>
        <v>23</v>
      </c>
      <c r="B287" s="91" t="s">
        <v>859</v>
      </c>
      <c r="C287" s="62">
        <f>C285*90/100</f>
        <v>6386.22</v>
      </c>
      <c r="D287" s="62">
        <f>35479*10/100</f>
        <v>3547.9</v>
      </c>
    </row>
    <row r="288" spans="1:3" ht="12.75">
      <c r="A288" s="23">
        <f t="shared" si="14"/>
        <v>24</v>
      </c>
      <c r="B288" s="91" t="s">
        <v>535</v>
      </c>
      <c r="C288" s="63">
        <f>35479*20/100</f>
        <v>7095.8</v>
      </c>
    </row>
    <row r="289" spans="1:4" ht="12.75">
      <c r="A289" s="23">
        <f t="shared" si="14"/>
        <v>25</v>
      </c>
      <c r="B289" s="91" t="s">
        <v>860</v>
      </c>
      <c r="C289" s="61">
        <f>C288*50/100</f>
        <v>3547.9</v>
      </c>
      <c r="D289" s="114">
        <f>35479*50/100</f>
        <v>17739.5</v>
      </c>
    </row>
    <row r="290" spans="1:4" ht="12.75">
      <c r="A290" s="23">
        <f t="shared" si="14"/>
        <v>26</v>
      </c>
      <c r="B290" s="91" t="s">
        <v>877</v>
      </c>
      <c r="C290" s="62">
        <f>C288*90/100</f>
        <v>6386.22</v>
      </c>
      <c r="D290" s="62">
        <f>35479*10/100</f>
        <v>3547.9</v>
      </c>
    </row>
    <row r="291" spans="1:3" ht="12.75">
      <c r="A291" s="47">
        <f aca="true" t="shared" si="16" ref="A291:A314">A290+1</f>
        <v>27</v>
      </c>
      <c r="B291" s="92" t="s">
        <v>117</v>
      </c>
      <c r="C291" s="63">
        <f>35479*30/100</f>
        <v>10643.7</v>
      </c>
    </row>
    <row r="292" spans="1:4" ht="12.75">
      <c r="A292" s="47">
        <f t="shared" si="16"/>
        <v>28</v>
      </c>
      <c r="B292" s="92" t="s">
        <v>861</v>
      </c>
      <c r="C292" s="61">
        <f>C291*50/100</f>
        <v>5321.85</v>
      </c>
      <c r="D292" s="114">
        <f>35479*50/100</f>
        <v>17739.5</v>
      </c>
    </row>
    <row r="293" spans="1:4" ht="12.75">
      <c r="A293" s="47">
        <f t="shared" si="16"/>
        <v>29</v>
      </c>
      <c r="B293" s="92" t="s">
        <v>862</v>
      </c>
      <c r="C293" s="62">
        <f>C291*90/100</f>
        <v>9579.330000000002</v>
      </c>
      <c r="D293" s="62">
        <f>35479*10/100</f>
        <v>3547.9</v>
      </c>
    </row>
    <row r="294" spans="1:3" ht="12.75">
      <c r="A294" s="23">
        <f t="shared" si="16"/>
        <v>30</v>
      </c>
      <c r="B294" s="91" t="s">
        <v>536</v>
      </c>
      <c r="C294" s="63">
        <f>35479*8/100</f>
        <v>2838.32</v>
      </c>
    </row>
    <row r="295" spans="1:4" ht="12.75">
      <c r="A295" s="23">
        <f t="shared" si="16"/>
        <v>31</v>
      </c>
      <c r="B295" s="91" t="s">
        <v>863</v>
      </c>
      <c r="C295" s="61">
        <f>C294*50/100</f>
        <v>1419.16</v>
      </c>
      <c r="D295" s="114">
        <f>35479*50/100</f>
        <v>17739.5</v>
      </c>
    </row>
    <row r="296" spans="1:4" ht="12.75">
      <c r="A296" s="23">
        <f t="shared" si="16"/>
        <v>32</v>
      </c>
      <c r="B296" s="91" t="s">
        <v>864</v>
      </c>
      <c r="C296" s="62">
        <f>C294*90/100</f>
        <v>2554.4880000000003</v>
      </c>
      <c r="D296" s="62">
        <f>35479*10/100</f>
        <v>3547.9</v>
      </c>
    </row>
    <row r="297" spans="1:3" ht="12.75">
      <c r="A297" s="23">
        <f t="shared" si="16"/>
        <v>33</v>
      </c>
      <c r="B297" s="91" t="s">
        <v>114</v>
      </c>
      <c r="C297" s="60">
        <f>35479*80/100</f>
        <v>28383.2</v>
      </c>
    </row>
    <row r="298" spans="1:4" ht="12.75">
      <c r="A298" s="23">
        <f t="shared" si="16"/>
        <v>34</v>
      </c>
      <c r="B298" s="91" t="s">
        <v>865</v>
      </c>
      <c r="C298" s="61">
        <f>C297*50/100</f>
        <v>14191.6</v>
      </c>
      <c r="D298" s="114">
        <f>35479*50/100</f>
        <v>17739.5</v>
      </c>
    </row>
    <row r="299" spans="1:4" ht="12.75">
      <c r="A299" s="23">
        <f t="shared" si="16"/>
        <v>35</v>
      </c>
      <c r="B299" s="91" t="s">
        <v>866</v>
      </c>
      <c r="C299" s="62">
        <f>C297*90/100</f>
        <v>25544.88</v>
      </c>
      <c r="D299" s="62">
        <f>35479*10/100</f>
        <v>3547.9</v>
      </c>
    </row>
    <row r="300" spans="1:3" ht="12.75">
      <c r="A300" s="84">
        <f t="shared" si="16"/>
        <v>36</v>
      </c>
      <c r="B300" s="93" t="s">
        <v>262</v>
      </c>
      <c r="C300" s="85">
        <f>35479*40/100</f>
        <v>14191.6</v>
      </c>
    </row>
    <row r="301" spans="1:4" ht="12.75">
      <c r="A301" s="84">
        <f t="shared" si="16"/>
        <v>37</v>
      </c>
      <c r="B301" s="93" t="s">
        <v>867</v>
      </c>
      <c r="C301" s="61">
        <f>C300*50/100</f>
        <v>7095.8</v>
      </c>
      <c r="D301" s="114">
        <f>35479*50/100</f>
        <v>17739.5</v>
      </c>
    </row>
    <row r="302" spans="1:4" ht="12.75">
      <c r="A302" s="84">
        <f t="shared" si="16"/>
        <v>38</v>
      </c>
      <c r="B302" s="93" t="s">
        <v>868</v>
      </c>
      <c r="C302" s="62">
        <f>C300*90/100</f>
        <v>12772.44</v>
      </c>
      <c r="D302" s="62">
        <f>35479*10/100</f>
        <v>3547.9</v>
      </c>
    </row>
    <row r="303" spans="1:3" ht="12.75">
      <c r="A303" s="84">
        <f t="shared" si="16"/>
        <v>39</v>
      </c>
      <c r="B303" s="93" t="s">
        <v>537</v>
      </c>
      <c r="C303" s="63">
        <f>35479*8/100</f>
        <v>2838.32</v>
      </c>
    </row>
    <row r="304" spans="1:4" ht="12.75">
      <c r="A304" s="84">
        <f t="shared" si="16"/>
        <v>40</v>
      </c>
      <c r="B304" s="93" t="s">
        <v>869</v>
      </c>
      <c r="C304" s="61">
        <f>C303*50/100</f>
        <v>1419.16</v>
      </c>
      <c r="D304" s="114">
        <f>35479*50/100</f>
        <v>17739.5</v>
      </c>
    </row>
    <row r="305" spans="1:4" ht="12.75">
      <c r="A305" s="84">
        <f t="shared" si="16"/>
        <v>41</v>
      </c>
      <c r="B305" s="93" t="s">
        <v>870</v>
      </c>
      <c r="C305" s="62">
        <f>C303*90/100</f>
        <v>2554.4880000000003</v>
      </c>
      <c r="D305" s="62">
        <f>35479*10/100</f>
        <v>3547.9</v>
      </c>
    </row>
    <row r="306" spans="1:3" ht="12.75">
      <c r="A306" s="84">
        <f t="shared" si="16"/>
        <v>42</v>
      </c>
      <c r="B306" s="93" t="s">
        <v>538</v>
      </c>
      <c r="C306" s="63">
        <f>35479*8/100</f>
        <v>2838.32</v>
      </c>
    </row>
    <row r="307" spans="1:4" ht="12.75">
      <c r="A307" s="84">
        <f t="shared" si="16"/>
        <v>43</v>
      </c>
      <c r="B307" s="93" t="s">
        <v>871</v>
      </c>
      <c r="C307" s="61">
        <f>C306*50/100</f>
        <v>1419.16</v>
      </c>
      <c r="D307" s="114">
        <f>35479*50/100</f>
        <v>17739.5</v>
      </c>
    </row>
    <row r="308" spans="1:4" ht="12.75">
      <c r="A308" s="84">
        <f t="shared" si="16"/>
        <v>44</v>
      </c>
      <c r="B308" s="93" t="s">
        <v>872</v>
      </c>
      <c r="C308" s="62">
        <f>C306*90/100</f>
        <v>2554.4880000000003</v>
      </c>
      <c r="D308" s="62">
        <f>35479*10/100</f>
        <v>3547.9</v>
      </c>
    </row>
    <row r="309" spans="1:3" ht="12.75">
      <c r="A309" s="84">
        <f t="shared" si="16"/>
        <v>45</v>
      </c>
      <c r="B309" s="93" t="s">
        <v>539</v>
      </c>
      <c r="C309" s="85">
        <f>35479*40/100</f>
        <v>14191.6</v>
      </c>
    </row>
    <row r="310" spans="1:4" ht="12.75">
      <c r="A310" s="84">
        <f t="shared" si="16"/>
        <v>46</v>
      </c>
      <c r="B310" s="93" t="s">
        <v>873</v>
      </c>
      <c r="C310" s="61">
        <f>C309*50/100</f>
        <v>7095.8</v>
      </c>
      <c r="D310" s="114">
        <f>35479*50/100</f>
        <v>17739.5</v>
      </c>
    </row>
    <row r="311" spans="1:4" ht="12.75">
      <c r="A311" s="84">
        <f t="shared" si="16"/>
        <v>47</v>
      </c>
      <c r="B311" s="93" t="s">
        <v>874</v>
      </c>
      <c r="C311" s="62">
        <f>C309*90/100</f>
        <v>12772.44</v>
      </c>
      <c r="D311" s="62">
        <f>35479*10/100</f>
        <v>3547.9</v>
      </c>
    </row>
    <row r="312" spans="1:3" ht="12.75">
      <c r="A312" s="23">
        <f t="shared" si="16"/>
        <v>48</v>
      </c>
      <c r="B312" s="91" t="s">
        <v>822</v>
      </c>
      <c r="C312" s="63">
        <f>35479*8/100</f>
        <v>2838.32</v>
      </c>
    </row>
    <row r="313" spans="1:4" ht="12.75">
      <c r="A313" s="23">
        <f t="shared" si="16"/>
        <v>49</v>
      </c>
      <c r="B313" s="91" t="s">
        <v>875</v>
      </c>
      <c r="C313" s="61">
        <f>C312*50/100</f>
        <v>1419.16</v>
      </c>
      <c r="D313" s="114">
        <f>35479*50/100</f>
        <v>17739.5</v>
      </c>
    </row>
    <row r="314" spans="1:4" ht="12.75">
      <c r="A314" s="26">
        <f t="shared" si="16"/>
        <v>50</v>
      </c>
      <c r="B314" s="94" t="s">
        <v>876</v>
      </c>
      <c r="C314" s="62">
        <f>C312*90/100</f>
        <v>2554.4880000000003</v>
      </c>
      <c r="D314" s="62">
        <f>35479*10/100</f>
        <v>3547.9</v>
      </c>
    </row>
    <row r="316" spans="1:2" ht="12.75">
      <c r="A316" s="38">
        <v>12</v>
      </c>
      <c r="B316" s="37" t="s">
        <v>496</v>
      </c>
    </row>
    <row r="317" spans="1:2" ht="12.75">
      <c r="A317" s="19">
        <v>1</v>
      </c>
      <c r="B317" s="122" t="s">
        <v>207</v>
      </c>
    </row>
    <row r="318" spans="1:2" ht="12.75">
      <c r="A318" s="23">
        <f>A317+1</f>
        <v>2</v>
      </c>
      <c r="B318" s="115" t="s">
        <v>15</v>
      </c>
    </row>
    <row r="319" spans="1:2" ht="12.75">
      <c r="A319" s="23">
        <f>A318+1</f>
        <v>3</v>
      </c>
      <c r="B319" s="123" t="s">
        <v>699</v>
      </c>
    </row>
    <row r="320" spans="1:2" ht="12.75">
      <c r="A320" s="23">
        <f>A319+1</f>
        <v>4</v>
      </c>
      <c r="B320" s="123" t="s">
        <v>700</v>
      </c>
    </row>
    <row r="321" spans="1:2" ht="12.75">
      <c r="A321" s="26">
        <f>A320+1</f>
        <v>5</v>
      </c>
      <c r="B321" s="124" t="s">
        <v>704</v>
      </c>
    </row>
    <row r="323" spans="1:5" ht="13.5" thickBot="1">
      <c r="A323" s="178">
        <v>13</v>
      </c>
      <c r="B323" s="1" t="s">
        <v>20</v>
      </c>
      <c r="C323" s="8" t="s">
        <v>111</v>
      </c>
      <c r="D323" s="139" t="s">
        <v>507</v>
      </c>
      <c r="E323" s="925" t="s">
        <v>508</v>
      </c>
    </row>
    <row r="324" spans="1:6" ht="12.75">
      <c r="A324" s="46">
        <v>1</v>
      </c>
      <c r="B324" s="21" t="s">
        <v>207</v>
      </c>
      <c r="C324" s="8"/>
      <c r="D324" s="86"/>
      <c r="E324" s="86"/>
      <c r="F324" s="87" t="s">
        <v>263</v>
      </c>
    </row>
    <row r="325" spans="1:9" ht="13.5" thickBot="1">
      <c r="A325" s="31">
        <f>A324+1</f>
        <v>2</v>
      </c>
      <c r="B325" s="68" t="s">
        <v>15</v>
      </c>
      <c r="C325" s="10"/>
      <c r="D325" s="79"/>
      <c r="E325" s="79"/>
      <c r="F325" s="88" t="s">
        <v>264</v>
      </c>
      <c r="H325" s="793"/>
      <c r="I325" s="5"/>
    </row>
    <row r="326" spans="1:9" ht="12.75">
      <c r="A326" s="31">
        <f>A325+1</f>
        <v>3</v>
      </c>
      <c r="B326" s="90" t="s">
        <v>719</v>
      </c>
      <c r="C326" s="116">
        <v>1</v>
      </c>
      <c r="D326" s="128">
        <f>(E326*2-2)/2</f>
        <v>1.4</v>
      </c>
      <c r="E326" s="129">
        <f>2.4</f>
        <v>2.4</v>
      </c>
      <c r="F326" s="805"/>
      <c r="G326" s="803"/>
      <c r="H326" s="804"/>
      <c r="I326" s="5"/>
    </row>
    <row r="327" spans="1:9" ht="12.75">
      <c r="A327" s="31">
        <f aca="true" t="shared" si="17" ref="A327:A356">A326+1</f>
        <v>4</v>
      </c>
      <c r="B327" s="117" t="s">
        <v>544</v>
      </c>
      <c r="C327" s="10">
        <v>1</v>
      </c>
      <c r="D327" s="128">
        <f>(((E326*2-2)+(E337*2-2))/2)*2/3</f>
        <v>2.533333333333333</v>
      </c>
      <c r="E327" s="107"/>
      <c r="F327" s="806"/>
      <c r="G327" s="803"/>
      <c r="H327" s="804"/>
      <c r="I327" s="5"/>
    </row>
    <row r="328" spans="1:9" ht="12.75">
      <c r="A328" s="31">
        <f t="shared" si="17"/>
        <v>5</v>
      </c>
      <c r="B328" s="117" t="s">
        <v>545</v>
      </c>
      <c r="C328" s="10">
        <v>1</v>
      </c>
      <c r="D328" s="130">
        <f>(((E326*2-2)+(E339*2-2))/2)*2/3</f>
        <v>1.8666666666666665</v>
      </c>
      <c r="E328" s="131"/>
      <c r="F328" s="806"/>
      <c r="G328" s="803"/>
      <c r="H328" s="804"/>
      <c r="I328" s="5"/>
    </row>
    <row r="329" spans="1:9" ht="12.75">
      <c r="A329" s="31">
        <f t="shared" si="17"/>
        <v>6</v>
      </c>
      <c r="B329" s="117" t="s">
        <v>546</v>
      </c>
      <c r="C329" s="10">
        <v>1</v>
      </c>
      <c r="D329" s="130">
        <f>(((E326*2-2)+(E353*2-2))/2)*2/3</f>
        <v>2.6666666666666665</v>
      </c>
      <c r="E329" s="107"/>
      <c r="F329" s="806"/>
      <c r="G329" s="803"/>
      <c r="H329" s="804"/>
      <c r="I329" s="5"/>
    </row>
    <row r="330" spans="1:9" ht="12.75">
      <c r="A330" s="31">
        <f t="shared" si="17"/>
        <v>7</v>
      </c>
      <c r="B330" s="117" t="s">
        <v>367</v>
      </c>
      <c r="C330" s="10">
        <v>1</v>
      </c>
      <c r="D330" s="128">
        <v>0</v>
      </c>
      <c r="E330" s="107"/>
      <c r="F330" s="806" t="s">
        <v>220</v>
      </c>
      <c r="G330" s="803"/>
      <c r="H330" s="804"/>
      <c r="I330" s="5"/>
    </row>
    <row r="331" spans="1:9" ht="12.75">
      <c r="A331" s="31">
        <f t="shared" si="17"/>
        <v>8</v>
      </c>
      <c r="B331" s="172" t="s">
        <v>506</v>
      </c>
      <c r="C331" s="10">
        <v>1</v>
      </c>
      <c r="D331" s="128">
        <v>0</v>
      </c>
      <c r="E331" s="107"/>
      <c r="F331" s="806" t="s">
        <v>220</v>
      </c>
      <c r="G331" s="803"/>
      <c r="H331" s="804"/>
      <c r="I331" s="5"/>
    </row>
    <row r="332" spans="1:9" ht="12.75">
      <c r="A332" s="31">
        <f t="shared" si="17"/>
        <v>9</v>
      </c>
      <c r="B332" s="172" t="s">
        <v>513</v>
      </c>
      <c r="C332" s="10">
        <v>1</v>
      </c>
      <c r="D332" s="130">
        <f>E332</f>
        <v>1.7</v>
      </c>
      <c r="E332" s="132">
        <v>1.7</v>
      </c>
      <c r="F332" s="806" t="s">
        <v>220</v>
      </c>
      <c r="G332" s="210"/>
      <c r="H332" s="804"/>
      <c r="I332" s="5"/>
    </row>
    <row r="333" spans="1:9" ht="12.75">
      <c r="A333" s="31">
        <f t="shared" si="17"/>
        <v>10</v>
      </c>
      <c r="B333" s="117" t="s">
        <v>720</v>
      </c>
      <c r="C333" s="10">
        <v>1</v>
      </c>
      <c r="D333" s="128">
        <f>(E333*2-2)/2</f>
        <v>3</v>
      </c>
      <c r="E333" s="133">
        <v>4</v>
      </c>
      <c r="F333" s="806"/>
      <c r="G333" s="803"/>
      <c r="H333" s="804"/>
      <c r="I333" s="5"/>
    </row>
    <row r="334" spans="1:9" ht="12.75">
      <c r="A334" s="31">
        <f t="shared" si="17"/>
        <v>11</v>
      </c>
      <c r="B334" s="172" t="s">
        <v>547</v>
      </c>
      <c r="C334" s="10">
        <v>1</v>
      </c>
      <c r="D334" s="128">
        <f>(((E333*2-2)+(E337*2-2))/2)*2/3</f>
        <v>3.6</v>
      </c>
      <c r="E334" s="107"/>
      <c r="F334" s="806"/>
      <c r="G334" s="803"/>
      <c r="H334" s="804"/>
      <c r="I334" s="5"/>
    </row>
    <row r="335" spans="1:9" ht="12.75">
      <c r="A335" s="31">
        <f t="shared" si="17"/>
        <v>12</v>
      </c>
      <c r="B335" s="117" t="s">
        <v>548</v>
      </c>
      <c r="C335" s="10">
        <v>1</v>
      </c>
      <c r="D335" s="128">
        <f>(((E333*2-2)+(E339*2-2))/2)*2/3</f>
        <v>2.9333333333333336</v>
      </c>
      <c r="E335" s="107"/>
      <c r="F335" s="806"/>
      <c r="G335" s="803"/>
      <c r="H335" s="804"/>
      <c r="I335" s="5"/>
    </row>
    <row r="336" spans="1:9" ht="12.75">
      <c r="A336" s="31">
        <f t="shared" si="17"/>
        <v>13</v>
      </c>
      <c r="B336" s="117" t="s">
        <v>549</v>
      </c>
      <c r="C336" s="10">
        <v>1</v>
      </c>
      <c r="D336" s="130">
        <f>(((E333*2-2)+(E353*2-2))/2)*2/3</f>
        <v>3.733333333333333</v>
      </c>
      <c r="E336" s="107"/>
      <c r="F336" s="806"/>
      <c r="G336" s="118"/>
      <c r="H336" s="804"/>
      <c r="I336" s="5"/>
    </row>
    <row r="337" spans="1:9" ht="12.75">
      <c r="A337" s="31">
        <f t="shared" si="17"/>
        <v>14</v>
      </c>
      <c r="B337" s="117" t="s">
        <v>721</v>
      </c>
      <c r="C337" s="10">
        <v>1</v>
      </c>
      <c r="D337" s="128">
        <f>(E337*2-2)/2</f>
        <v>2.4</v>
      </c>
      <c r="E337" s="129">
        <v>3.4</v>
      </c>
      <c r="F337" s="806"/>
      <c r="G337" s="803"/>
      <c r="H337" s="804"/>
      <c r="I337" s="5"/>
    </row>
    <row r="338" spans="1:9" ht="12.75">
      <c r="A338" s="31">
        <f t="shared" si="17"/>
        <v>15</v>
      </c>
      <c r="B338" s="117" t="s">
        <v>762</v>
      </c>
      <c r="C338" s="10">
        <v>1</v>
      </c>
      <c r="D338" s="128">
        <f>(E338*2-2)/2</f>
        <v>5</v>
      </c>
      <c r="E338" s="133">
        <v>6</v>
      </c>
      <c r="F338" s="806"/>
      <c r="G338" s="803"/>
      <c r="H338" s="804"/>
      <c r="I338" s="5"/>
    </row>
    <row r="339" spans="1:9" ht="12.75">
      <c r="A339" s="31">
        <f t="shared" si="17"/>
        <v>16</v>
      </c>
      <c r="B339" s="172" t="s">
        <v>722</v>
      </c>
      <c r="C339" s="116">
        <v>1</v>
      </c>
      <c r="D339" s="128">
        <f>(E339*2-2)/2</f>
        <v>1.4</v>
      </c>
      <c r="E339" s="129">
        <v>2.4</v>
      </c>
      <c r="F339" s="806"/>
      <c r="G339" s="803"/>
      <c r="H339" s="804"/>
      <c r="I339" s="5"/>
    </row>
    <row r="340" spans="1:9" ht="12.75">
      <c r="A340" s="31">
        <f t="shared" si="17"/>
        <v>17</v>
      </c>
      <c r="B340" s="117" t="s">
        <v>550</v>
      </c>
      <c r="C340" s="10">
        <v>1</v>
      </c>
      <c r="D340" s="128">
        <f>(((E339*2-2)+(E337*2-2))/2)*2/3</f>
        <v>2.533333333333333</v>
      </c>
      <c r="E340" s="107"/>
      <c r="F340" s="806"/>
      <c r="G340" s="803"/>
      <c r="H340" s="804"/>
      <c r="I340" s="5"/>
    </row>
    <row r="341" spans="1:9" ht="12.75">
      <c r="A341" s="31">
        <f t="shared" si="17"/>
        <v>18</v>
      </c>
      <c r="B341" s="117" t="s">
        <v>551</v>
      </c>
      <c r="C341" s="10">
        <v>1</v>
      </c>
      <c r="D341" s="130">
        <f>(((E339*2-2)+(E353*2-2))/2)*2/3</f>
        <v>2.6666666666666665</v>
      </c>
      <c r="E341" s="107"/>
      <c r="F341" s="806"/>
      <c r="G341" s="803"/>
      <c r="H341" s="804"/>
      <c r="I341" s="5"/>
    </row>
    <row r="342" spans="1:9" ht="12.75">
      <c r="A342" s="31">
        <f t="shared" si="17"/>
        <v>19</v>
      </c>
      <c r="B342" s="117" t="s">
        <v>516</v>
      </c>
      <c r="C342" s="10">
        <v>1</v>
      </c>
      <c r="D342" s="134">
        <f>E342</f>
        <v>1.75</v>
      </c>
      <c r="E342" s="135">
        <f>E357</f>
        <v>1.75</v>
      </c>
      <c r="F342" s="806" t="s">
        <v>443</v>
      </c>
      <c r="G342" s="210"/>
      <c r="H342" s="804"/>
      <c r="I342" s="5"/>
    </row>
    <row r="343" spans="1:9" ht="12.75">
      <c r="A343" s="31">
        <f t="shared" si="17"/>
        <v>20</v>
      </c>
      <c r="B343" s="117" t="s">
        <v>723</v>
      </c>
      <c r="C343" s="10">
        <v>1</v>
      </c>
      <c r="D343" s="128">
        <f>(E343*2-2)/2</f>
        <v>2.6</v>
      </c>
      <c r="E343" s="133">
        <v>3.6</v>
      </c>
      <c r="F343" s="806"/>
      <c r="G343" s="803"/>
      <c r="H343" s="804"/>
      <c r="I343" s="5"/>
    </row>
    <row r="344" spans="1:9" ht="12.75">
      <c r="A344" s="31">
        <f t="shared" si="17"/>
        <v>21</v>
      </c>
      <c r="B344" s="117" t="s">
        <v>552</v>
      </c>
      <c r="C344" s="10">
        <v>1</v>
      </c>
      <c r="D344" s="128">
        <f>(((E343*2-2)+(E337*2-2))/2)*2/3</f>
        <v>3.3333333333333335</v>
      </c>
      <c r="E344" s="128"/>
      <c r="F344" s="806"/>
      <c r="G344" s="803"/>
      <c r="H344" s="804"/>
      <c r="I344" s="5"/>
    </row>
    <row r="345" spans="1:9" ht="12.75">
      <c r="A345" s="31">
        <f t="shared" si="17"/>
        <v>22</v>
      </c>
      <c r="B345" s="117" t="s">
        <v>553</v>
      </c>
      <c r="C345" s="10">
        <v>1</v>
      </c>
      <c r="D345" s="128">
        <f>(((E343*2-2)+(E339*2-2))/2)*2/3</f>
        <v>2.6666666666666665</v>
      </c>
      <c r="E345" s="107"/>
      <c r="F345" s="806"/>
      <c r="G345" s="803"/>
      <c r="H345" s="804"/>
      <c r="I345" s="5"/>
    </row>
    <row r="346" spans="1:9" ht="12.75">
      <c r="A346" s="31">
        <f t="shared" si="17"/>
        <v>23</v>
      </c>
      <c r="B346" s="117" t="s">
        <v>554</v>
      </c>
      <c r="C346" s="10">
        <v>1</v>
      </c>
      <c r="D346" s="130">
        <f>(((E343*2-2)+(E353*2-2))/2)*2/3</f>
        <v>3.466666666666667</v>
      </c>
      <c r="E346" s="107"/>
      <c r="F346" s="806"/>
      <c r="G346" s="803"/>
      <c r="H346" s="804"/>
      <c r="I346" s="5"/>
    </row>
    <row r="347" spans="1:9" ht="12.75">
      <c r="A347" s="31">
        <f t="shared" si="17"/>
        <v>24</v>
      </c>
      <c r="B347" s="172" t="s">
        <v>726</v>
      </c>
      <c r="C347" s="10">
        <v>1</v>
      </c>
      <c r="D347" s="130">
        <f>E347</f>
        <v>2.3</v>
      </c>
      <c r="E347" s="129">
        <v>2.3</v>
      </c>
      <c r="F347" s="806"/>
      <c r="G347" s="803"/>
      <c r="H347" s="804"/>
      <c r="I347" s="5"/>
    </row>
    <row r="348" spans="1:9" ht="12.75">
      <c r="A348" s="31">
        <f t="shared" si="17"/>
        <v>25</v>
      </c>
      <c r="B348" s="117" t="s">
        <v>761</v>
      </c>
      <c r="C348" s="10">
        <v>1</v>
      </c>
      <c r="D348" s="128">
        <f>(E348*2-2)/2</f>
        <v>5</v>
      </c>
      <c r="E348" s="133">
        <v>6</v>
      </c>
      <c r="F348" s="806"/>
      <c r="G348" s="803"/>
      <c r="H348" s="804"/>
      <c r="I348" s="5"/>
    </row>
    <row r="349" spans="1:9" ht="12.75">
      <c r="A349" s="31">
        <f t="shared" si="17"/>
        <v>26</v>
      </c>
      <c r="B349" s="117" t="s">
        <v>724</v>
      </c>
      <c r="C349" s="10">
        <v>1</v>
      </c>
      <c r="D349" s="128">
        <f>(E349*2-2)/2</f>
        <v>2.4</v>
      </c>
      <c r="E349" s="133">
        <v>3.4</v>
      </c>
      <c r="F349" s="806"/>
      <c r="G349" s="803"/>
      <c r="H349" s="804"/>
      <c r="I349" s="5"/>
    </row>
    <row r="350" spans="1:9" ht="12.75">
      <c r="A350" s="31">
        <f t="shared" si="17"/>
        <v>27</v>
      </c>
      <c r="B350" s="117" t="s">
        <v>555</v>
      </c>
      <c r="C350" s="10">
        <v>1</v>
      </c>
      <c r="D350" s="128">
        <f>(((E349*2-2)+(E337*2-2))/2)*2/3</f>
        <v>3.1999999999999997</v>
      </c>
      <c r="E350" s="107"/>
      <c r="F350" s="806"/>
      <c r="G350" s="803"/>
      <c r="H350" s="804"/>
      <c r="I350" s="5"/>
    </row>
    <row r="351" spans="1:9" ht="12.75">
      <c r="A351" s="31">
        <f t="shared" si="17"/>
        <v>28</v>
      </c>
      <c r="B351" s="117" t="s">
        <v>556</v>
      </c>
      <c r="C351" s="10">
        <v>1</v>
      </c>
      <c r="D351" s="128">
        <f>(((E349*2-2)+(E339*2-2))/2)*2/3</f>
        <v>2.533333333333333</v>
      </c>
      <c r="E351" s="107"/>
      <c r="F351" s="806"/>
      <c r="G351" s="803"/>
      <c r="H351" s="804"/>
      <c r="I351" s="5"/>
    </row>
    <row r="352" spans="1:9" ht="12.75">
      <c r="A352" s="31">
        <f t="shared" si="17"/>
        <v>29</v>
      </c>
      <c r="B352" s="172" t="s">
        <v>557</v>
      </c>
      <c r="C352" s="116">
        <v>1</v>
      </c>
      <c r="D352" s="130">
        <f>(((E349*2-2)+(E353*2-2))/2)*2/3</f>
        <v>3.3333333333333335</v>
      </c>
      <c r="E352" s="101"/>
      <c r="F352" s="806"/>
      <c r="G352" s="803"/>
      <c r="H352" s="804"/>
      <c r="I352" s="5"/>
    </row>
    <row r="353" spans="1:9" ht="12.75">
      <c r="A353" s="31">
        <f t="shared" si="17"/>
        <v>30</v>
      </c>
      <c r="B353" s="172" t="s">
        <v>725</v>
      </c>
      <c r="C353" s="116">
        <v>1</v>
      </c>
      <c r="D353" s="128">
        <f>(E353*2-2)/2</f>
        <v>2.6</v>
      </c>
      <c r="E353" s="129">
        <v>3.6</v>
      </c>
      <c r="F353" s="806"/>
      <c r="G353" s="803"/>
      <c r="H353" s="804"/>
      <c r="I353" s="5"/>
    </row>
    <row r="354" spans="1:9" ht="12.75">
      <c r="A354" s="31">
        <f t="shared" si="17"/>
        <v>31</v>
      </c>
      <c r="B354" s="68" t="s">
        <v>323</v>
      </c>
      <c r="C354" s="216">
        <v>2</v>
      </c>
      <c r="D354" s="128">
        <v>0</v>
      </c>
      <c r="E354" s="107"/>
      <c r="F354" s="806" t="s">
        <v>220</v>
      </c>
      <c r="G354" s="803"/>
      <c r="H354" s="804"/>
      <c r="I354" s="5"/>
    </row>
    <row r="355" spans="1:9" ht="12.75">
      <c r="A355" s="31">
        <f t="shared" si="17"/>
        <v>32</v>
      </c>
      <c r="B355" s="68" t="s">
        <v>820</v>
      </c>
      <c r="C355" s="10">
        <v>1</v>
      </c>
      <c r="D355" s="130">
        <v>0</v>
      </c>
      <c r="E355" s="101"/>
      <c r="F355" s="806" t="s">
        <v>220</v>
      </c>
      <c r="G355" s="803"/>
      <c r="H355" s="804"/>
      <c r="I355" s="5"/>
    </row>
    <row r="356" spans="1:9" ht="12.75">
      <c r="A356" s="31">
        <f t="shared" si="17"/>
        <v>33</v>
      </c>
      <c r="B356" s="68" t="s">
        <v>821</v>
      </c>
      <c r="C356" s="10">
        <v>1</v>
      </c>
      <c r="D356" s="136">
        <f>E356</f>
        <v>1.9</v>
      </c>
      <c r="E356" s="132">
        <v>1.9</v>
      </c>
      <c r="F356" s="807" t="s">
        <v>444</v>
      </c>
      <c r="G356" s="210"/>
      <c r="H356" s="804"/>
      <c r="I356" s="5"/>
    </row>
    <row r="357" spans="1:9" ht="13.5" thickBot="1">
      <c r="A357" s="35">
        <f>A356+1</f>
        <v>34</v>
      </c>
      <c r="B357" s="27" t="s">
        <v>515</v>
      </c>
      <c r="C357" s="13">
        <v>1</v>
      </c>
      <c r="D357" s="137">
        <f>E357</f>
        <v>1.75</v>
      </c>
      <c r="E357" s="138">
        <v>1.75</v>
      </c>
      <c r="F357" s="808" t="s">
        <v>510</v>
      </c>
      <c r="G357" s="210"/>
      <c r="H357" s="804"/>
      <c r="I357" s="5"/>
    </row>
    <row r="358" spans="1:8" ht="12.75">
      <c r="A358" s="6"/>
      <c r="B358" s="6"/>
      <c r="C358" s="13"/>
      <c r="D358" s="53"/>
      <c r="G358" s="172"/>
      <c r="H358" s="802"/>
    </row>
    <row r="359" spans="1:8" ht="12.75">
      <c r="A359" s="177" t="s">
        <v>26</v>
      </c>
      <c r="B359" s="20" t="s">
        <v>21</v>
      </c>
      <c r="C359" s="14" t="s">
        <v>111</v>
      </c>
      <c r="D359" s="81" t="s">
        <v>230</v>
      </c>
      <c r="E359" s="68" t="s">
        <v>314</v>
      </c>
      <c r="F359" s="78"/>
      <c r="H359" s="108"/>
    </row>
    <row r="360" spans="1:8" ht="12.75">
      <c r="A360" s="31">
        <v>1</v>
      </c>
      <c r="B360" s="17" t="s">
        <v>207</v>
      </c>
      <c r="C360" s="10"/>
      <c r="D360" s="77"/>
      <c r="E360" s="31"/>
      <c r="F360" s="165"/>
      <c r="H360" s="90"/>
    </row>
    <row r="361" spans="1:6" ht="13.5" thickBot="1">
      <c r="A361" s="31">
        <f aca="true" t="shared" si="18" ref="A361:A371">A360+1</f>
        <v>2</v>
      </c>
      <c r="B361" s="68" t="s">
        <v>15</v>
      </c>
      <c r="C361" s="10"/>
      <c r="D361" s="77"/>
      <c r="E361" s="31"/>
      <c r="F361" s="166"/>
    </row>
    <row r="362" spans="1:7" ht="12.75">
      <c r="A362" s="31">
        <f>A361+1</f>
        <v>3</v>
      </c>
      <c r="B362" s="3" t="s">
        <v>113</v>
      </c>
      <c r="C362" s="10">
        <v>2</v>
      </c>
      <c r="D362" s="107">
        <v>0</v>
      </c>
      <c r="E362" s="168"/>
      <c r="F362" s="169" t="s">
        <v>445</v>
      </c>
      <c r="G362" s="120"/>
    </row>
    <row r="363" spans="1:7" ht="12.75">
      <c r="A363" s="31">
        <f>A362+1</f>
        <v>4</v>
      </c>
      <c r="B363" s="68" t="s">
        <v>834</v>
      </c>
      <c r="C363" s="216">
        <v>3</v>
      </c>
      <c r="D363" s="107">
        <v>0</v>
      </c>
      <c r="E363" s="168"/>
      <c r="F363" s="170" t="s">
        <v>446</v>
      </c>
      <c r="G363" s="167"/>
    </row>
    <row r="364" spans="1:7" ht="12.75">
      <c r="A364" s="31">
        <f>A363+1</f>
        <v>5</v>
      </c>
      <c r="B364" s="68" t="s">
        <v>811</v>
      </c>
      <c r="C364" s="10">
        <v>2</v>
      </c>
      <c r="D364" s="140">
        <v>7.15</v>
      </c>
      <c r="E364" s="168"/>
      <c r="F364" s="95">
        <v>250</v>
      </c>
      <c r="G364" s="89">
        <f>F364/37-2</f>
        <v>4.756756756756757</v>
      </c>
    </row>
    <row r="365" spans="1:7" ht="12.75">
      <c r="A365" s="31">
        <f t="shared" si="18"/>
        <v>6</v>
      </c>
      <c r="B365" s="90" t="s">
        <v>812</v>
      </c>
      <c r="C365" s="217">
        <v>3</v>
      </c>
      <c r="D365" s="210">
        <v>4.7</v>
      </c>
      <c r="E365" s="168"/>
      <c r="F365" s="66" t="s">
        <v>313</v>
      </c>
      <c r="G365" s="89">
        <f>G366</f>
        <v>2.72972972972973</v>
      </c>
    </row>
    <row r="366" spans="1:7" ht="12.75">
      <c r="A366" s="31">
        <f t="shared" si="18"/>
        <v>7</v>
      </c>
      <c r="B366" s="90" t="s">
        <v>813</v>
      </c>
      <c r="C366" s="217">
        <v>3</v>
      </c>
      <c r="D366" s="210">
        <v>5.1</v>
      </c>
      <c r="E366" s="168"/>
      <c r="F366" s="95">
        <v>175</v>
      </c>
      <c r="G366" s="89">
        <f>F366/37-2</f>
        <v>2.72972972972973</v>
      </c>
    </row>
    <row r="367" spans="1:7" ht="12.75">
      <c r="A367" s="31">
        <f t="shared" si="18"/>
        <v>8</v>
      </c>
      <c r="B367" s="68" t="s">
        <v>814</v>
      </c>
      <c r="C367" s="116">
        <v>2</v>
      </c>
      <c r="D367" s="210">
        <v>6.05</v>
      </c>
      <c r="E367" s="168"/>
      <c r="F367" s="95">
        <v>211</v>
      </c>
      <c r="G367" s="89">
        <f>F367/37-2</f>
        <v>3.7027027027027026</v>
      </c>
    </row>
    <row r="368" spans="1:7" ht="12.75">
      <c r="A368" s="31">
        <f t="shared" si="18"/>
        <v>9</v>
      </c>
      <c r="B368" s="68" t="s">
        <v>815</v>
      </c>
      <c r="C368" s="116">
        <v>2</v>
      </c>
      <c r="D368" s="140">
        <v>7.3</v>
      </c>
      <c r="E368" s="168"/>
      <c r="F368" s="95">
        <v>242</v>
      </c>
      <c r="G368" s="89">
        <f>F368/37-2</f>
        <v>4.54054054054054</v>
      </c>
    </row>
    <row r="369" spans="1:7" ht="12.75">
      <c r="A369" s="31">
        <f t="shared" si="18"/>
        <v>10</v>
      </c>
      <c r="B369" s="68" t="s">
        <v>816</v>
      </c>
      <c r="C369" s="116">
        <v>2</v>
      </c>
      <c r="D369" s="211">
        <v>4.05</v>
      </c>
      <c r="E369" s="168"/>
      <c r="F369" s="66" t="s">
        <v>229</v>
      </c>
      <c r="G369" s="89">
        <v>2</v>
      </c>
    </row>
    <row r="370" spans="1:7" ht="12.75">
      <c r="A370" s="31">
        <f t="shared" si="18"/>
        <v>11</v>
      </c>
      <c r="B370" s="68" t="s">
        <v>817</v>
      </c>
      <c r="C370" s="216">
        <v>3</v>
      </c>
      <c r="D370" s="211">
        <v>3.85</v>
      </c>
      <c r="E370" s="168"/>
      <c r="F370" s="66" t="s">
        <v>229</v>
      </c>
      <c r="G370" s="89">
        <v>2</v>
      </c>
    </row>
    <row r="371" spans="1:7" ht="12.75">
      <c r="A371" s="31">
        <f t="shared" si="18"/>
        <v>12</v>
      </c>
      <c r="B371" s="68" t="s">
        <v>818</v>
      </c>
      <c r="C371" s="10">
        <v>2</v>
      </c>
      <c r="D371" s="211">
        <f>D370</f>
        <v>3.85</v>
      </c>
      <c r="E371" s="168"/>
      <c r="F371" s="66" t="s">
        <v>229</v>
      </c>
      <c r="G371" s="89">
        <v>2</v>
      </c>
    </row>
    <row r="372" spans="1:7" ht="12.75">
      <c r="A372" s="31">
        <f>A371+1</f>
        <v>13</v>
      </c>
      <c r="B372" s="68" t="s">
        <v>819</v>
      </c>
      <c r="C372" s="216">
        <v>3</v>
      </c>
      <c r="D372" s="211">
        <f>D370</f>
        <v>3.85</v>
      </c>
      <c r="E372" s="168"/>
      <c r="F372" s="66" t="s">
        <v>229</v>
      </c>
      <c r="G372" s="89">
        <v>2</v>
      </c>
    </row>
    <row r="373" spans="1:7" ht="12.75">
      <c r="A373" s="31">
        <f>A372+1</f>
        <v>14</v>
      </c>
      <c r="B373" s="68" t="s">
        <v>520</v>
      </c>
      <c r="C373" s="10">
        <v>2</v>
      </c>
      <c r="D373" s="140">
        <v>6.3</v>
      </c>
      <c r="E373" s="171"/>
      <c r="F373" s="95">
        <v>152</v>
      </c>
      <c r="G373" s="89">
        <f>F373/37</f>
        <v>4.108108108108108</v>
      </c>
    </row>
    <row r="374" spans="1:7" ht="12.75">
      <c r="A374" s="177" t="s">
        <v>27</v>
      </c>
      <c r="B374" s="20" t="s">
        <v>22</v>
      </c>
      <c r="C374" s="14" t="s">
        <v>111</v>
      </c>
      <c r="D374" s="73" t="s">
        <v>230</v>
      </c>
      <c r="E374" s="150" t="s">
        <v>527</v>
      </c>
      <c r="F374" s="173"/>
      <c r="G374" s="174"/>
    </row>
    <row r="375" spans="1:7" ht="12.75">
      <c r="A375" s="31">
        <v>1</v>
      </c>
      <c r="B375" s="147" t="s">
        <v>207</v>
      </c>
      <c r="C375" s="10"/>
      <c r="D375" s="79"/>
      <c r="F375" s="148"/>
      <c r="G375" s="149"/>
    </row>
    <row r="376" spans="1:7" ht="12.75">
      <c r="A376" s="31">
        <f>A375+1</f>
        <v>2</v>
      </c>
      <c r="B376" s="68" t="s">
        <v>15</v>
      </c>
      <c r="C376" s="10"/>
      <c r="D376" s="79"/>
      <c r="F376" s="80"/>
      <c r="G376" s="89"/>
    </row>
    <row r="377" spans="1:7" ht="12.75">
      <c r="A377" s="31">
        <f>A376+1</f>
        <v>3</v>
      </c>
      <c r="B377" s="68" t="s">
        <v>830</v>
      </c>
      <c r="C377" s="10">
        <v>2</v>
      </c>
      <c r="D377" s="140">
        <v>4.7</v>
      </c>
      <c r="E377" s="151">
        <f>35479*10/100</f>
        <v>3547.9</v>
      </c>
      <c r="F377" s="80">
        <v>158</v>
      </c>
      <c r="G377" s="89">
        <f>F377/37</f>
        <v>4.27027027027027</v>
      </c>
    </row>
    <row r="378" spans="1:7" ht="12.75">
      <c r="A378" s="31">
        <f>A377+1</f>
        <v>4</v>
      </c>
      <c r="B378" s="68" t="s">
        <v>831</v>
      </c>
      <c r="C378" s="10">
        <v>2</v>
      </c>
      <c r="D378" s="140">
        <v>4.7</v>
      </c>
      <c r="E378" s="151">
        <f>35479*50/100</f>
        <v>17739.5</v>
      </c>
      <c r="F378" s="80">
        <v>158</v>
      </c>
      <c r="G378" s="89">
        <f>F378/37</f>
        <v>4.27027027027027</v>
      </c>
    </row>
    <row r="379" spans="1:7" ht="12.75">
      <c r="A379" s="31">
        <f>A378+1</f>
        <v>5</v>
      </c>
      <c r="B379" s="68" t="s">
        <v>832</v>
      </c>
      <c r="C379" s="10">
        <v>2</v>
      </c>
      <c r="D379" s="140">
        <v>3.85</v>
      </c>
      <c r="E379" s="151">
        <f>35479*50/100</f>
        <v>17739.5</v>
      </c>
      <c r="F379" s="80">
        <v>148</v>
      </c>
      <c r="G379" s="89">
        <f>F379/37</f>
        <v>4</v>
      </c>
    </row>
    <row r="380" spans="1:7" ht="12.75">
      <c r="A380" s="35">
        <f>A379+1</f>
        <v>6</v>
      </c>
      <c r="B380" s="27" t="s">
        <v>833</v>
      </c>
      <c r="C380" s="218">
        <v>3</v>
      </c>
      <c r="D380" s="141">
        <v>3.85</v>
      </c>
      <c r="E380" s="152">
        <f>35479*50/100</f>
        <v>17739.5</v>
      </c>
      <c r="F380" s="145">
        <v>148</v>
      </c>
      <c r="G380" s="146">
        <f>F380/37</f>
        <v>4</v>
      </c>
    </row>
    <row r="381" spans="1:4" ht="12.75">
      <c r="A381" s="10"/>
      <c r="B381" s="25"/>
      <c r="C381" s="10"/>
      <c r="D381" s="8"/>
    </row>
    <row r="382" spans="1:4" ht="12.75">
      <c r="A382" s="54">
        <v>15</v>
      </c>
      <c r="B382" s="20" t="s">
        <v>23</v>
      </c>
      <c r="C382" s="14" t="s">
        <v>111</v>
      </c>
      <c r="D382" s="23"/>
    </row>
    <row r="383" spans="1:4" ht="12.75">
      <c r="A383" s="36">
        <v>1</v>
      </c>
      <c r="B383" s="24" t="s">
        <v>207</v>
      </c>
      <c r="C383" s="10"/>
      <c r="D383" s="23"/>
    </row>
    <row r="384" spans="1:4" ht="12.75">
      <c r="A384" s="36">
        <f aca="true" t="shared" si="19" ref="A384:A400">A383+1</f>
        <v>2</v>
      </c>
      <c r="B384" s="68" t="s">
        <v>15</v>
      </c>
      <c r="C384" s="33"/>
      <c r="D384" s="22"/>
    </row>
    <row r="385" spans="1:4" ht="12.75">
      <c r="A385" s="36">
        <f t="shared" si="19"/>
        <v>3</v>
      </c>
      <c r="B385" s="3" t="s">
        <v>322</v>
      </c>
      <c r="C385" s="219">
        <v>4</v>
      </c>
      <c r="D385" s="30"/>
    </row>
    <row r="386" spans="1:3" ht="12.75">
      <c r="A386" s="23">
        <f t="shared" si="19"/>
        <v>4</v>
      </c>
      <c r="B386" s="3" t="s">
        <v>318</v>
      </c>
      <c r="C386" s="12">
        <v>3</v>
      </c>
    </row>
    <row r="387" spans="1:4" ht="12.75">
      <c r="A387" s="23">
        <f t="shared" si="19"/>
        <v>5</v>
      </c>
      <c r="B387" s="3" t="s">
        <v>368</v>
      </c>
      <c r="C387" s="12">
        <v>3</v>
      </c>
      <c r="D387" s="31"/>
    </row>
    <row r="388" spans="1:4" ht="12.75">
      <c r="A388" s="23">
        <f>A387+1</f>
        <v>6</v>
      </c>
      <c r="B388" s="3" t="s">
        <v>514</v>
      </c>
      <c r="C388" s="12">
        <v>3</v>
      </c>
      <c r="D388" s="31"/>
    </row>
    <row r="389" spans="1:4" ht="12.75">
      <c r="A389" s="23">
        <f>A388+1</f>
        <v>7</v>
      </c>
      <c r="B389" s="3" t="s">
        <v>319</v>
      </c>
      <c r="C389" s="12">
        <v>3</v>
      </c>
      <c r="D389" s="31"/>
    </row>
    <row r="390" spans="1:4" ht="12.75">
      <c r="A390" s="23">
        <f t="shared" si="19"/>
        <v>8</v>
      </c>
      <c r="B390" s="3" t="s">
        <v>320</v>
      </c>
      <c r="C390" s="12">
        <v>3</v>
      </c>
      <c r="D390" s="31"/>
    </row>
    <row r="391" spans="1:4" ht="12.75">
      <c r="A391" s="23">
        <f t="shared" si="19"/>
        <v>9</v>
      </c>
      <c r="B391" s="3" t="s">
        <v>118</v>
      </c>
      <c r="C391" s="219">
        <v>4</v>
      </c>
      <c r="D391" s="31"/>
    </row>
    <row r="392" spans="1:4" ht="12.75">
      <c r="A392" s="23">
        <f t="shared" si="19"/>
        <v>10</v>
      </c>
      <c r="B392" s="3" t="s">
        <v>369</v>
      </c>
      <c r="C392" s="12">
        <v>3</v>
      </c>
      <c r="D392" s="31"/>
    </row>
    <row r="393" spans="1:4" ht="12.75">
      <c r="A393" s="23">
        <f t="shared" si="19"/>
        <v>11</v>
      </c>
      <c r="B393" s="3" t="s">
        <v>321</v>
      </c>
      <c r="C393" s="219">
        <v>4</v>
      </c>
      <c r="D393" s="31"/>
    </row>
    <row r="394" spans="1:4" ht="12.75">
      <c r="A394" s="23">
        <f t="shared" si="19"/>
        <v>12</v>
      </c>
      <c r="B394" s="68" t="s">
        <v>540</v>
      </c>
      <c r="C394" s="12">
        <v>3</v>
      </c>
      <c r="D394" s="31"/>
    </row>
    <row r="395" spans="1:4" ht="12.75">
      <c r="A395" s="23">
        <f>A394+1</f>
        <v>13</v>
      </c>
      <c r="B395" s="68" t="s">
        <v>112</v>
      </c>
      <c r="C395" s="219">
        <v>4</v>
      </c>
      <c r="D395" s="31"/>
    </row>
    <row r="396" spans="1:4" ht="12.75">
      <c r="A396" s="23">
        <f t="shared" si="19"/>
        <v>14</v>
      </c>
      <c r="B396" s="68" t="s">
        <v>370</v>
      </c>
      <c r="C396" s="219">
        <v>4</v>
      </c>
      <c r="D396" s="31"/>
    </row>
    <row r="397" spans="1:4" ht="12.75">
      <c r="A397" s="23">
        <f t="shared" si="19"/>
        <v>15</v>
      </c>
      <c r="B397" s="3" t="s">
        <v>373</v>
      </c>
      <c r="C397" s="12">
        <v>3</v>
      </c>
      <c r="D397" s="31"/>
    </row>
    <row r="398" spans="1:4" ht="12.75">
      <c r="A398" s="23">
        <f t="shared" si="19"/>
        <v>16</v>
      </c>
      <c r="B398" s="68" t="s">
        <v>541</v>
      </c>
      <c r="C398" s="219">
        <v>4</v>
      </c>
      <c r="D398" s="31"/>
    </row>
    <row r="399" spans="1:4" ht="12.75">
      <c r="A399" s="23">
        <f t="shared" si="19"/>
        <v>17</v>
      </c>
      <c r="B399" s="3" t="s">
        <v>371</v>
      </c>
      <c r="C399" s="12">
        <v>3</v>
      </c>
      <c r="D399" s="31"/>
    </row>
    <row r="400" spans="1:4" ht="12.75">
      <c r="A400" s="23">
        <f t="shared" si="19"/>
        <v>18</v>
      </c>
      <c r="B400" s="3" t="s">
        <v>110</v>
      </c>
      <c r="C400" s="12">
        <v>3</v>
      </c>
      <c r="D400" s="31"/>
    </row>
    <row r="401" spans="1:4" ht="12.75">
      <c r="A401" s="26">
        <f>A400+1</f>
        <v>19</v>
      </c>
      <c r="B401" s="6" t="s">
        <v>372</v>
      </c>
      <c r="C401" s="55">
        <v>3</v>
      </c>
      <c r="D401" s="31"/>
    </row>
    <row r="403" spans="1:2" ht="12.75">
      <c r="A403" s="38">
        <v>16</v>
      </c>
      <c r="B403" s="82" t="s">
        <v>14</v>
      </c>
    </row>
    <row r="404" spans="1:2" ht="12.75">
      <c r="A404" s="23">
        <v>1</v>
      </c>
      <c r="B404" s="56" t="s">
        <v>234</v>
      </c>
    </row>
    <row r="405" spans="1:2" ht="12.75">
      <c r="A405" s="26">
        <f>A404+1</f>
        <v>2</v>
      </c>
      <c r="B405" s="57" t="s">
        <v>233</v>
      </c>
    </row>
    <row r="407" spans="1:3" ht="12.75">
      <c r="A407" s="143">
        <v>17</v>
      </c>
      <c r="B407" s="144" t="s">
        <v>24</v>
      </c>
      <c r="C407" s="29"/>
    </row>
    <row r="408" spans="1:3" ht="12.75">
      <c r="A408" s="19">
        <v>1</v>
      </c>
      <c r="B408" s="183" t="s">
        <v>1</v>
      </c>
      <c r="C408" s="18"/>
    </row>
    <row r="409" spans="1:3" ht="12.75">
      <c r="A409" s="23">
        <f aca="true" t="shared" si="20" ref="A409:A414">A408+1</f>
        <v>2</v>
      </c>
      <c r="B409" s="181" t="s">
        <v>671</v>
      </c>
      <c r="C409" s="34">
        <v>12</v>
      </c>
    </row>
    <row r="410" spans="1:3" ht="12.75">
      <c r="A410" s="23">
        <f t="shared" si="20"/>
        <v>3</v>
      </c>
      <c r="B410" s="181" t="s">
        <v>672</v>
      </c>
      <c r="C410" s="34">
        <f>C409+12</f>
        <v>24</v>
      </c>
    </row>
    <row r="411" spans="1:3" ht="12.75">
      <c r="A411" s="23">
        <f t="shared" si="20"/>
        <v>4</v>
      </c>
      <c r="B411" s="181" t="s">
        <v>673</v>
      </c>
      <c r="C411" s="34">
        <f>C410+12</f>
        <v>36</v>
      </c>
    </row>
    <row r="412" spans="1:3" ht="12.75">
      <c r="A412" s="23">
        <f t="shared" si="20"/>
        <v>5</v>
      </c>
      <c r="B412" s="181" t="s">
        <v>674</v>
      </c>
      <c r="C412" s="34">
        <f>C411+12</f>
        <v>48</v>
      </c>
    </row>
    <row r="413" spans="1:3" ht="12.75">
      <c r="A413" s="23">
        <f t="shared" si="20"/>
        <v>6</v>
      </c>
      <c r="B413" s="181" t="s">
        <v>675</v>
      </c>
      <c r="C413" s="34">
        <f>C412+12</f>
        <v>60</v>
      </c>
    </row>
    <row r="414" spans="1:3" ht="12.75">
      <c r="A414" s="26">
        <f t="shared" si="20"/>
        <v>7</v>
      </c>
      <c r="B414" s="182" t="s">
        <v>676</v>
      </c>
      <c r="C414" s="32">
        <f>C413+12</f>
        <v>72</v>
      </c>
    </row>
    <row r="416" spans="1:3" ht="12.75">
      <c r="A416" s="176">
        <v>18</v>
      </c>
      <c r="B416" s="175" t="s">
        <v>630</v>
      </c>
      <c r="C416" s="29"/>
    </row>
    <row r="417" spans="1:3" ht="12.75">
      <c r="A417" s="19">
        <v>1</v>
      </c>
      <c r="B417" s="4" t="s">
        <v>638</v>
      </c>
      <c r="C417" s="18">
        <v>2</v>
      </c>
    </row>
    <row r="418" spans="1:3" ht="12.75">
      <c r="A418" s="23">
        <f>A417+1</f>
        <v>2</v>
      </c>
      <c r="B418" s="5" t="s">
        <v>639</v>
      </c>
      <c r="C418" s="34">
        <v>2</v>
      </c>
    </row>
    <row r="419" spans="1:3" ht="12.75">
      <c r="A419" s="26">
        <f>A418+1</f>
        <v>3</v>
      </c>
      <c r="B419" s="6" t="s">
        <v>631</v>
      </c>
      <c r="C419" s="32">
        <v>0</v>
      </c>
    </row>
  </sheetData>
  <sheetProtection password="802E" sheet="1"/>
  <printOptions/>
  <pageMargins left="0.03888888888888889" right="0.03888888888888889" top="0.39305555555555555" bottom="0.39305555555555555" header="0.19652777777777777" footer="0.19652777777777777"/>
  <pageSetup horizontalDpi="30066" verticalDpi="30066" orientation="portrait" paperSize="9" r:id="rId3"/>
  <ignoredErrors>
    <ignoredError sqref="G365 C40:C41" formula="1"/>
  </ignoredErrors>
  <legacyDrawing r:id="rId2"/>
</worksheet>
</file>

<file path=xl/worksheets/sheet3.xml><?xml version="1.0" encoding="utf-8"?>
<worksheet xmlns="http://schemas.openxmlformats.org/spreadsheetml/2006/main" xmlns:r="http://schemas.openxmlformats.org/officeDocument/2006/relationships">
  <dimension ref="A1:K43"/>
  <sheetViews>
    <sheetView zoomScalePageLayoutView="0" workbookViewId="0" topLeftCell="A1">
      <selection activeCell="B23" sqref="B23"/>
    </sheetView>
  </sheetViews>
  <sheetFormatPr defaultColWidth="9.140625" defaultRowHeight="12.75"/>
  <cols>
    <col min="1" max="2" width="18.7109375" style="0" customWidth="1"/>
    <col min="3" max="4" width="10.7109375" style="0" customWidth="1"/>
    <col min="5" max="8" width="18.7109375" style="0" customWidth="1"/>
    <col min="9" max="11" width="11.7109375" style="0" customWidth="1"/>
  </cols>
  <sheetData>
    <row r="1" spans="1:11" ht="13.5" thickBot="1">
      <c r="A1" s="809" t="s">
        <v>594</v>
      </c>
      <c r="B1" s="810"/>
      <c r="C1" s="831" t="s">
        <v>140</v>
      </c>
      <c r="D1" s="420" t="s">
        <v>765</v>
      </c>
      <c r="E1" s="421"/>
      <c r="F1" s="422"/>
      <c r="G1" s="829" t="s">
        <v>605</v>
      </c>
      <c r="H1" s="830">
        <f>SUM(F7+H6+H7)</f>
        <v>0</v>
      </c>
      <c r="I1" s="809" t="s">
        <v>573</v>
      </c>
      <c r="J1" s="810"/>
      <c r="K1" s="860"/>
    </row>
    <row r="2" spans="1:11" ht="13.5" thickBot="1">
      <c r="A2" s="811" t="s">
        <v>141</v>
      </c>
      <c r="B2" s="650" t="s">
        <v>154</v>
      </c>
      <c r="C2" s="423"/>
      <c r="D2" s="813" t="s">
        <v>599</v>
      </c>
      <c r="E2" s="813" t="s">
        <v>601</v>
      </c>
      <c r="F2" s="821"/>
      <c r="G2" s="898"/>
      <c r="H2" s="899"/>
      <c r="I2" s="843" t="s">
        <v>574</v>
      </c>
      <c r="J2" s="844"/>
      <c r="K2" s="853" t="e">
        <f>ROUND((H3*10/100),0)</f>
        <v>#DIV/0!</v>
      </c>
    </row>
    <row r="3" spans="1:11" ht="12.75">
      <c r="A3" s="811"/>
      <c r="B3" s="650" t="s">
        <v>588</v>
      </c>
      <c r="C3" s="423"/>
      <c r="D3" s="822" t="s">
        <v>599</v>
      </c>
      <c r="E3" s="822" t="s">
        <v>596</v>
      </c>
      <c r="F3" s="823"/>
      <c r="G3" s="825" t="s">
        <v>603</v>
      </c>
      <c r="H3" s="826" t="e">
        <f>SUM(C2:C17)</f>
        <v>#DIV/0!</v>
      </c>
      <c r="I3" s="845"/>
      <c r="J3" s="846" t="s">
        <v>575</v>
      </c>
      <c r="K3" s="424"/>
    </row>
    <row r="4" spans="1:11" ht="13.5" thickBot="1">
      <c r="A4" s="811"/>
      <c r="B4" s="650" t="s">
        <v>155</v>
      </c>
      <c r="C4" s="423"/>
      <c r="D4" s="822" t="s">
        <v>599</v>
      </c>
      <c r="E4" s="822" t="s">
        <v>597</v>
      </c>
      <c r="F4" s="823"/>
      <c r="G4" s="827" t="s">
        <v>604</v>
      </c>
      <c r="H4" s="828" t="e">
        <f>IF(H3&lt;21,"Untrained",IF(H3&lt;36,"Poor",IF(H3&lt;56,"Below Average",IF(H3&lt;71,"Fair",IF(H3&lt;81,"Average",IF(H3&lt;101,"Good",IF(H3&lt;126,"Excellent","Elite")))))))</f>
        <v>#DIV/0!</v>
      </c>
      <c r="I4" s="845"/>
      <c r="J4" s="846" t="s">
        <v>576</v>
      </c>
      <c r="K4" s="424"/>
    </row>
    <row r="5" spans="1:11" ht="12.75">
      <c r="A5" s="811"/>
      <c r="B5" s="650" t="s">
        <v>589</v>
      </c>
      <c r="C5" s="423"/>
      <c r="D5" s="822" t="s">
        <v>599</v>
      </c>
      <c r="E5" s="822" t="s">
        <v>598</v>
      </c>
      <c r="F5" s="823"/>
      <c r="G5" s="900"/>
      <c r="H5" s="901"/>
      <c r="I5" s="845"/>
      <c r="J5" s="846" t="s">
        <v>577</v>
      </c>
      <c r="K5" s="424"/>
    </row>
    <row r="6" spans="1:11" ht="12.75">
      <c r="A6" s="812"/>
      <c r="B6" s="813" t="s">
        <v>145</v>
      </c>
      <c r="C6" s="813" t="e">
        <f>(FLOOR((D6*100/H1),1))*2</f>
        <v>#DIV/0!</v>
      </c>
      <c r="D6" s="425"/>
      <c r="E6" s="824" t="s">
        <v>600</v>
      </c>
      <c r="F6" s="718"/>
      <c r="G6" s="838" t="s">
        <v>607</v>
      </c>
      <c r="H6" s="426"/>
      <c r="I6" s="845"/>
      <c r="J6" s="846" t="s">
        <v>578</v>
      </c>
      <c r="K6" s="424"/>
    </row>
    <row r="7" spans="1:11" ht="12.75">
      <c r="A7" s="811" t="s">
        <v>142</v>
      </c>
      <c r="B7" s="650" t="s">
        <v>703</v>
      </c>
      <c r="C7" s="650">
        <f>IF(F7+H6+H7=0,0,IF(F7+H6+H7&gt;0,ROUND((((F7)+(H6*2)+(H7*3))/(F7+H6+H7))*2,0)))</f>
        <v>0</v>
      </c>
      <c r="D7" s="718" t="s">
        <v>693</v>
      </c>
      <c r="E7" s="832" t="s">
        <v>609</v>
      </c>
      <c r="F7" s="427"/>
      <c r="G7" s="718" t="s">
        <v>608</v>
      </c>
      <c r="H7" s="428"/>
      <c r="I7" s="845"/>
      <c r="J7" s="846" t="s">
        <v>579</v>
      </c>
      <c r="K7" s="424"/>
    </row>
    <row r="8" spans="1:11" ht="12.75">
      <c r="A8" s="811"/>
      <c r="B8" s="650" t="s">
        <v>146</v>
      </c>
      <c r="C8" s="650">
        <f>F8-H8</f>
        <v>0</v>
      </c>
      <c r="D8" s="833" t="s">
        <v>693</v>
      </c>
      <c r="E8" s="834" t="s">
        <v>614</v>
      </c>
      <c r="F8" s="429"/>
      <c r="G8" s="832" t="s">
        <v>615</v>
      </c>
      <c r="H8" s="428"/>
      <c r="I8" s="845"/>
      <c r="J8" s="846" t="s">
        <v>580</v>
      </c>
      <c r="K8" s="424"/>
    </row>
    <row r="9" spans="1:11" ht="12.75">
      <c r="A9" s="812"/>
      <c r="B9" s="813" t="s">
        <v>702</v>
      </c>
      <c r="C9" s="813">
        <f>IF(F9+F10+F11+H9+H10+H11=0,0,IF(F9+F10+F11+H9+H10+H11&gt;0,ROUND((((F9*H9)+(F10*H10)+(F11*H11))/(F9+F10+F11))*3,0)))</f>
        <v>0</v>
      </c>
      <c r="D9" s="650" t="s">
        <v>693</v>
      </c>
      <c r="E9" s="835" t="s">
        <v>610</v>
      </c>
      <c r="F9" s="423"/>
      <c r="G9" s="839" t="s">
        <v>613</v>
      </c>
      <c r="H9" s="423"/>
      <c r="I9" s="845"/>
      <c r="J9" s="846" t="s">
        <v>581</v>
      </c>
      <c r="K9" s="424"/>
    </row>
    <row r="10" spans="1:11" ht="12.75">
      <c r="A10" s="811" t="s">
        <v>143</v>
      </c>
      <c r="B10" s="650" t="s">
        <v>147</v>
      </c>
      <c r="C10" s="423"/>
      <c r="D10" s="836" t="s">
        <v>599</v>
      </c>
      <c r="E10" s="835" t="s">
        <v>611</v>
      </c>
      <c r="F10" s="423"/>
      <c r="G10" s="835" t="s">
        <v>613</v>
      </c>
      <c r="H10" s="423"/>
      <c r="I10" s="845"/>
      <c r="J10" s="846" t="s">
        <v>582</v>
      </c>
      <c r="K10" s="424"/>
    </row>
    <row r="11" spans="1:11" ht="12.75">
      <c r="A11" s="811"/>
      <c r="B11" s="650" t="s">
        <v>148</v>
      </c>
      <c r="C11" s="423"/>
      <c r="D11" s="837" t="s">
        <v>599</v>
      </c>
      <c r="E11" s="832" t="s">
        <v>612</v>
      </c>
      <c r="F11" s="427"/>
      <c r="G11" s="832" t="s">
        <v>613</v>
      </c>
      <c r="H11" s="428"/>
      <c r="I11" s="845"/>
      <c r="J11" s="846" t="s">
        <v>583</v>
      </c>
      <c r="K11" s="424"/>
    </row>
    <row r="12" spans="1:11" ht="12.75">
      <c r="A12" s="812"/>
      <c r="B12" s="813" t="s">
        <v>149</v>
      </c>
      <c r="C12" s="430"/>
      <c r="D12" s="833" t="s">
        <v>599</v>
      </c>
      <c r="E12" s="833" t="s">
        <v>590</v>
      </c>
      <c r="F12" s="833"/>
      <c r="G12" s="833"/>
      <c r="H12" s="852"/>
      <c r="I12" s="845"/>
      <c r="J12" s="846" t="s">
        <v>584</v>
      </c>
      <c r="K12" s="424"/>
    </row>
    <row r="13" spans="1:11" ht="12.75">
      <c r="A13" s="811" t="s">
        <v>144</v>
      </c>
      <c r="B13" s="650" t="s">
        <v>697</v>
      </c>
      <c r="C13" s="423"/>
      <c r="D13" s="813" t="s">
        <v>599</v>
      </c>
      <c r="E13" s="840" t="s">
        <v>698</v>
      </c>
      <c r="F13" s="813"/>
      <c r="G13" s="813"/>
      <c r="H13" s="853"/>
      <c r="I13" s="845"/>
      <c r="J13" s="846" t="s">
        <v>585</v>
      </c>
      <c r="K13" s="424"/>
    </row>
    <row r="14" spans="1:11" ht="13.5" thickBot="1">
      <c r="A14" s="814"/>
      <c r="B14" s="815" t="s">
        <v>150</v>
      </c>
      <c r="C14" s="423"/>
      <c r="D14" s="822" t="s">
        <v>599</v>
      </c>
      <c r="E14" s="841" t="s">
        <v>591</v>
      </c>
      <c r="F14" s="822"/>
      <c r="G14" s="822"/>
      <c r="H14" s="854"/>
      <c r="I14" s="847"/>
      <c r="J14" s="848" t="s">
        <v>586</v>
      </c>
      <c r="K14" s="431"/>
    </row>
    <row r="15" spans="1:11" ht="13.5" thickBot="1">
      <c r="A15" s="816"/>
      <c r="B15" s="813" t="s">
        <v>151</v>
      </c>
      <c r="C15" s="430"/>
      <c r="D15" s="824" t="s">
        <v>599</v>
      </c>
      <c r="E15" s="842" t="s">
        <v>592</v>
      </c>
      <c r="F15" s="824"/>
      <c r="G15" s="824"/>
      <c r="H15" s="902"/>
      <c r="I15" s="849" t="s">
        <v>595</v>
      </c>
      <c r="J15" s="850"/>
      <c r="K15" s="851" t="e">
        <f>(H3+(SUM(K3:K14)))</f>
        <v>#DIV/0!</v>
      </c>
    </row>
    <row r="16" spans="1:11" ht="12.75">
      <c r="A16" s="817" t="s">
        <v>153</v>
      </c>
      <c r="B16" s="818" t="s">
        <v>211</v>
      </c>
      <c r="C16" s="432"/>
      <c r="D16" s="813" t="s">
        <v>599</v>
      </c>
      <c r="E16" s="813" t="s">
        <v>593</v>
      </c>
      <c r="F16" s="813"/>
      <c r="G16" s="813"/>
      <c r="H16" s="903"/>
      <c r="I16" s="899"/>
      <c r="J16" s="899"/>
      <c r="K16" s="904"/>
    </row>
    <row r="17" spans="1:11" ht="12.75">
      <c r="A17" s="819"/>
      <c r="B17" s="718" t="s">
        <v>152</v>
      </c>
      <c r="C17" s="718" t="e">
        <f>FLOOR((D17*100/H1),1)*2</f>
        <v>#DIV/0!</v>
      </c>
      <c r="D17" s="425"/>
      <c r="E17" s="824" t="s">
        <v>694</v>
      </c>
      <c r="F17" s="824"/>
      <c r="G17" s="824"/>
      <c r="H17" s="905"/>
      <c r="I17" s="906"/>
      <c r="J17" s="906"/>
      <c r="K17" s="907"/>
    </row>
    <row r="18" spans="1:11" ht="13.5" thickBot="1">
      <c r="A18" s="650"/>
      <c r="B18" s="650"/>
      <c r="C18" s="650"/>
      <c r="D18" s="650"/>
      <c r="E18" s="908"/>
      <c r="F18" s="908"/>
      <c r="G18" s="908"/>
      <c r="H18" s="650"/>
      <c r="I18" s="650"/>
      <c r="J18" s="650"/>
      <c r="K18" s="650"/>
    </row>
    <row r="19" spans="1:11" ht="12.75">
      <c r="A19" s="809" t="s">
        <v>594</v>
      </c>
      <c r="B19" s="810"/>
      <c r="C19" s="831" t="s">
        <v>140</v>
      </c>
      <c r="D19" s="420" t="s">
        <v>766</v>
      </c>
      <c r="E19" s="421"/>
      <c r="F19" s="422"/>
      <c r="G19" s="829" t="s">
        <v>605</v>
      </c>
      <c r="H19" s="855">
        <f>SUM(F25+H24+H25)</f>
        <v>0</v>
      </c>
      <c r="I19" s="809" t="s">
        <v>573</v>
      </c>
      <c r="J19" s="810"/>
      <c r="K19" s="860"/>
    </row>
    <row r="20" spans="1:11" ht="13.5" thickBot="1">
      <c r="A20" s="811" t="s">
        <v>141</v>
      </c>
      <c r="B20" s="820" t="s">
        <v>154</v>
      </c>
      <c r="C20" s="423"/>
      <c r="D20" s="813" t="s">
        <v>599</v>
      </c>
      <c r="E20" s="813" t="s">
        <v>601</v>
      </c>
      <c r="F20" s="813"/>
      <c r="G20" s="856" t="s">
        <v>606</v>
      </c>
      <c r="H20" s="434"/>
      <c r="I20" s="843" t="s">
        <v>587</v>
      </c>
      <c r="J20" s="844"/>
      <c r="K20" s="853" t="e">
        <f>ROUND((H21*10/100),0)</f>
        <v>#DIV/0!</v>
      </c>
    </row>
    <row r="21" spans="1:11" ht="12.75">
      <c r="A21" s="811"/>
      <c r="B21" s="650" t="s">
        <v>588</v>
      </c>
      <c r="C21" s="423"/>
      <c r="D21" s="822" t="s">
        <v>599</v>
      </c>
      <c r="E21" s="822" t="s">
        <v>596</v>
      </c>
      <c r="F21" s="823"/>
      <c r="G21" s="825" t="s">
        <v>603</v>
      </c>
      <c r="H21" s="826" t="e">
        <f>SUM(C20:C30)</f>
        <v>#DIV/0!</v>
      </c>
      <c r="I21" s="650"/>
      <c r="J21" s="846" t="s">
        <v>559</v>
      </c>
      <c r="K21" s="424"/>
    </row>
    <row r="22" spans="1:11" ht="13.5" thickBot="1">
      <c r="A22" s="811"/>
      <c r="B22" s="650" t="s">
        <v>155</v>
      </c>
      <c r="C22" s="423"/>
      <c r="D22" s="822" t="s">
        <v>599</v>
      </c>
      <c r="E22" s="822" t="s">
        <v>597</v>
      </c>
      <c r="F22" s="823"/>
      <c r="G22" s="827" t="s">
        <v>604</v>
      </c>
      <c r="H22" s="828" t="e">
        <f>IF(H21&lt;21,"Untrained",IF(H21&lt;36,"Poor",IF(H21&lt;56,"Below Average",IF(H21&lt;71,"Fair",IF(H21&lt;81,"Average",IF(H21&lt;101,"Good",IF(H21&lt;126,"Excellent","Elite")))))))</f>
        <v>#DIV/0!</v>
      </c>
      <c r="I22" s="650"/>
      <c r="J22" s="846" t="s">
        <v>560</v>
      </c>
      <c r="K22" s="424"/>
    </row>
    <row r="23" spans="1:11" ht="12.75">
      <c r="A23" s="811"/>
      <c r="B23" s="650" t="s">
        <v>589</v>
      </c>
      <c r="C23" s="423"/>
      <c r="D23" s="822" t="s">
        <v>599</v>
      </c>
      <c r="E23" s="822" t="s">
        <v>598</v>
      </c>
      <c r="F23" s="823"/>
      <c r="G23" s="900"/>
      <c r="H23" s="901"/>
      <c r="I23" s="650"/>
      <c r="J23" s="846" t="s">
        <v>561</v>
      </c>
      <c r="K23" s="424"/>
    </row>
    <row r="24" spans="1:11" ht="12.75">
      <c r="A24" s="812"/>
      <c r="B24" s="813" t="s">
        <v>145</v>
      </c>
      <c r="C24" s="813" t="e">
        <f>(FLOOR((D24*100/H19),1))*2</f>
        <v>#DIV/0!</v>
      </c>
      <c r="D24" s="425"/>
      <c r="E24" s="824" t="s">
        <v>600</v>
      </c>
      <c r="F24" s="718"/>
      <c r="G24" s="838" t="s">
        <v>607</v>
      </c>
      <c r="H24" s="424"/>
      <c r="I24" s="811"/>
      <c r="J24" s="846" t="s">
        <v>562</v>
      </c>
      <c r="K24" s="424"/>
    </row>
    <row r="25" spans="1:11" ht="12.75">
      <c r="A25" s="811" t="s">
        <v>142</v>
      </c>
      <c r="B25" s="650" t="s">
        <v>703</v>
      </c>
      <c r="C25" s="650">
        <f>IF(F25+H24+H25=0,0,IF(F25+H24+H25&gt;0,ROUND((((F25)+(H24*2)+(H25*3))/(F25+H24+H25))*2,0)))</f>
        <v>0</v>
      </c>
      <c r="D25" s="718" t="s">
        <v>693</v>
      </c>
      <c r="E25" s="832" t="s">
        <v>609</v>
      </c>
      <c r="F25" s="427"/>
      <c r="G25" s="718" t="s">
        <v>608</v>
      </c>
      <c r="H25" s="428"/>
      <c r="I25" s="811"/>
      <c r="J25" s="846" t="s">
        <v>563</v>
      </c>
      <c r="K25" s="424"/>
    </row>
    <row r="26" spans="1:11" ht="12.75">
      <c r="A26" s="811"/>
      <c r="B26" s="650" t="s">
        <v>146</v>
      </c>
      <c r="C26" s="650">
        <f>F26-H26</f>
        <v>0</v>
      </c>
      <c r="D26" s="833" t="s">
        <v>693</v>
      </c>
      <c r="E26" s="834" t="s">
        <v>614</v>
      </c>
      <c r="F26" s="429"/>
      <c r="G26" s="832" t="s">
        <v>615</v>
      </c>
      <c r="H26" s="428"/>
      <c r="I26" s="811"/>
      <c r="J26" s="846" t="s">
        <v>564</v>
      </c>
      <c r="K26" s="424"/>
    </row>
    <row r="27" spans="1:11" ht="12.75">
      <c r="A27" s="812"/>
      <c r="B27" s="813" t="s">
        <v>702</v>
      </c>
      <c r="C27" s="813">
        <f>IF(F27+F28+F29+H27+H28+H29=0,0,IF(F27+F28+F29+H27+H28+H29&gt;0,ROUND((((F27*H27)+(F28*H28)+(F29*H29))/(F27+F28+F29))*3,0)))</f>
        <v>0</v>
      </c>
      <c r="D27" s="650" t="s">
        <v>693</v>
      </c>
      <c r="E27" s="835" t="s">
        <v>610</v>
      </c>
      <c r="F27" s="423"/>
      <c r="G27" s="839" t="s">
        <v>613</v>
      </c>
      <c r="H27" s="423"/>
      <c r="I27" s="811"/>
      <c r="J27" s="846" t="s">
        <v>565</v>
      </c>
      <c r="K27" s="424"/>
    </row>
    <row r="28" spans="1:11" ht="12.75">
      <c r="A28" s="811" t="s">
        <v>143</v>
      </c>
      <c r="B28" s="820" t="s">
        <v>147</v>
      </c>
      <c r="C28" s="423"/>
      <c r="D28" s="836" t="s">
        <v>599</v>
      </c>
      <c r="E28" s="835" t="s">
        <v>611</v>
      </c>
      <c r="F28" s="423"/>
      <c r="G28" s="835" t="s">
        <v>613</v>
      </c>
      <c r="H28" s="423"/>
      <c r="I28" s="811"/>
      <c r="J28" s="846" t="s">
        <v>567</v>
      </c>
      <c r="K28" s="424"/>
    </row>
    <row r="29" spans="1:11" ht="12.75">
      <c r="A29" s="811"/>
      <c r="B29" s="820" t="s">
        <v>148</v>
      </c>
      <c r="C29" s="423"/>
      <c r="D29" s="837" t="s">
        <v>599</v>
      </c>
      <c r="E29" s="832" t="s">
        <v>612</v>
      </c>
      <c r="F29" s="427"/>
      <c r="G29" s="832" t="s">
        <v>613</v>
      </c>
      <c r="H29" s="428"/>
      <c r="I29" s="650"/>
      <c r="J29" s="846" t="s">
        <v>568</v>
      </c>
      <c r="K29" s="424"/>
    </row>
    <row r="30" spans="1:11" ht="13.5" thickBot="1">
      <c r="A30" s="819"/>
      <c r="B30" s="820" t="s">
        <v>149</v>
      </c>
      <c r="C30" s="433"/>
      <c r="D30" s="810" t="s">
        <v>599</v>
      </c>
      <c r="E30" s="810" t="s">
        <v>590</v>
      </c>
      <c r="F30" s="810"/>
      <c r="G30" s="810"/>
      <c r="H30" s="874"/>
      <c r="I30" s="811"/>
      <c r="J30" s="846" t="s">
        <v>566</v>
      </c>
      <c r="K30" s="424"/>
    </row>
    <row r="31" spans="1:11" ht="13.5" thickBot="1">
      <c r="A31" s="909"/>
      <c r="B31" s="881" t="s">
        <v>38</v>
      </c>
      <c r="C31" s="435" t="s">
        <v>36</v>
      </c>
      <c r="D31" s="882"/>
      <c r="E31" s="882" t="s">
        <v>44</v>
      </c>
      <c r="F31" s="883"/>
      <c r="G31" s="884" t="s">
        <v>45</v>
      </c>
      <c r="H31" s="885" t="s">
        <v>2</v>
      </c>
      <c r="I31" s="811"/>
      <c r="J31" s="846" t="s">
        <v>571</v>
      </c>
      <c r="K31" s="424"/>
    </row>
    <row r="32" spans="1:11" ht="12.75">
      <c r="A32" s="910"/>
      <c r="B32" s="886" t="s">
        <v>33</v>
      </c>
      <c r="C32" s="436" t="s">
        <v>37</v>
      </c>
      <c r="D32" s="887" t="s">
        <v>35</v>
      </c>
      <c r="E32" s="887" t="s">
        <v>34</v>
      </c>
      <c r="F32" s="887" t="s">
        <v>558</v>
      </c>
      <c r="G32" s="888" t="s">
        <v>46</v>
      </c>
      <c r="H32" s="889" t="s">
        <v>10</v>
      </c>
      <c r="I32" s="811"/>
      <c r="J32" s="846" t="s">
        <v>570</v>
      </c>
      <c r="K32" s="424"/>
    </row>
    <row r="33" spans="1:11" ht="12.75">
      <c r="A33" s="910"/>
      <c r="B33" s="875" t="s">
        <v>39</v>
      </c>
      <c r="C33" s="893"/>
      <c r="D33" s="895">
        <f>C33*60</f>
        <v>0</v>
      </c>
      <c r="E33" s="865">
        <f>C33*10</f>
        <v>0</v>
      </c>
      <c r="F33" s="865">
        <f>C33*20</f>
        <v>0</v>
      </c>
      <c r="G33" s="866" t="s">
        <v>47</v>
      </c>
      <c r="H33" s="437" t="s">
        <v>3</v>
      </c>
      <c r="I33" s="811"/>
      <c r="J33" s="846" t="s">
        <v>569</v>
      </c>
      <c r="K33" s="424"/>
    </row>
    <row r="34" spans="1:11" ht="12.75">
      <c r="A34" s="910"/>
      <c r="B34" s="876" t="s">
        <v>40</v>
      </c>
      <c r="C34" s="893"/>
      <c r="D34" s="895">
        <f>C34*180</f>
        <v>0</v>
      </c>
      <c r="E34" s="865">
        <f>C34*20</f>
        <v>0</v>
      </c>
      <c r="F34" s="865">
        <f>C34*50</f>
        <v>0</v>
      </c>
      <c r="G34" s="867" t="s">
        <v>48</v>
      </c>
      <c r="H34" s="437" t="s">
        <v>4</v>
      </c>
      <c r="I34" s="811"/>
      <c r="J34" s="846" t="s">
        <v>687</v>
      </c>
      <c r="K34" s="424"/>
    </row>
    <row r="35" spans="1:11" ht="12.75">
      <c r="A35" s="910"/>
      <c r="B35" s="876" t="s">
        <v>41</v>
      </c>
      <c r="C35" s="893"/>
      <c r="D35" s="895">
        <f>C35*300</f>
        <v>0</v>
      </c>
      <c r="E35" s="865">
        <f>C35*30</f>
        <v>0</v>
      </c>
      <c r="F35" s="865">
        <f>C35*75</f>
        <v>0</v>
      </c>
      <c r="G35" s="867" t="s">
        <v>49</v>
      </c>
      <c r="H35" s="437" t="s">
        <v>5</v>
      </c>
      <c r="I35" s="811"/>
      <c r="J35" s="846" t="s">
        <v>688</v>
      </c>
      <c r="K35" s="424"/>
    </row>
    <row r="36" spans="1:11" ht="12.75">
      <c r="A36" s="910"/>
      <c r="B36" s="876" t="s">
        <v>42</v>
      </c>
      <c r="C36" s="893"/>
      <c r="D36" s="911"/>
      <c r="E36" s="868">
        <f>C36*75</f>
        <v>0</v>
      </c>
      <c r="F36" s="869"/>
      <c r="G36" s="867" t="s">
        <v>47</v>
      </c>
      <c r="H36" s="437" t="s">
        <v>6</v>
      </c>
      <c r="I36" s="811"/>
      <c r="J36" s="857" t="s">
        <v>572</v>
      </c>
      <c r="K36" s="424"/>
    </row>
    <row r="37" spans="1:11" ht="12.75">
      <c r="A37" s="910"/>
      <c r="B37" s="876" t="s">
        <v>768</v>
      </c>
      <c r="C37" s="893"/>
      <c r="D37" s="911"/>
      <c r="E37" s="868">
        <f>C37*10</f>
        <v>0</v>
      </c>
      <c r="F37" s="868">
        <f>C37*25</f>
        <v>0</v>
      </c>
      <c r="G37" s="867" t="s">
        <v>51</v>
      </c>
      <c r="H37" s="437" t="s">
        <v>7</v>
      </c>
      <c r="I37" s="811"/>
      <c r="J37" s="858" t="s">
        <v>31</v>
      </c>
      <c r="K37" s="424"/>
    </row>
    <row r="38" spans="1:11" ht="13.5" thickBot="1">
      <c r="A38" s="910"/>
      <c r="B38" s="876" t="s">
        <v>769</v>
      </c>
      <c r="C38" s="893"/>
      <c r="D38" s="911"/>
      <c r="E38" s="868">
        <f>C38*20</f>
        <v>0</v>
      </c>
      <c r="F38" s="868">
        <f>C38*50</f>
        <v>0</v>
      </c>
      <c r="G38" s="867" t="s">
        <v>52</v>
      </c>
      <c r="H38" s="437" t="s">
        <v>8</v>
      </c>
      <c r="I38" s="812"/>
      <c r="J38" s="859" t="s">
        <v>32</v>
      </c>
      <c r="K38" s="431"/>
    </row>
    <row r="39" spans="1:11" ht="13.5" thickBot="1">
      <c r="A39" s="910"/>
      <c r="B39" s="876" t="s">
        <v>43</v>
      </c>
      <c r="C39" s="893"/>
      <c r="D39" s="911"/>
      <c r="E39" s="868">
        <f>C39*20</f>
        <v>0</v>
      </c>
      <c r="F39" s="870">
        <f>C39*100</f>
        <v>0</v>
      </c>
      <c r="G39" s="867" t="s">
        <v>50</v>
      </c>
      <c r="H39" s="437" t="s">
        <v>9</v>
      </c>
      <c r="I39" s="912" t="s">
        <v>602</v>
      </c>
      <c r="J39" s="861"/>
      <c r="K39" s="862" t="e">
        <f>(H21+(SUM(K21:K38)))</f>
        <v>#DIV/0!</v>
      </c>
    </row>
    <row r="40" spans="1:11" ht="12.75">
      <c r="A40" s="910"/>
      <c r="B40" s="877" t="s">
        <v>767</v>
      </c>
      <c r="C40" s="893"/>
      <c r="D40" s="913"/>
      <c r="E40" s="871">
        <f>C40*20</f>
        <v>0</v>
      </c>
      <c r="F40" s="872">
        <f>C40*50</f>
        <v>0</v>
      </c>
      <c r="G40" s="873" t="s">
        <v>640</v>
      </c>
      <c r="H40" s="437" t="s">
        <v>12</v>
      </c>
      <c r="I40" s="914"/>
      <c r="J40" s="863"/>
      <c r="K40" s="864"/>
    </row>
    <row r="41" spans="1:11" ht="12.75">
      <c r="A41" s="910"/>
      <c r="B41" s="892"/>
      <c r="C41" s="893"/>
      <c r="D41" s="896"/>
      <c r="E41" s="423"/>
      <c r="F41" s="423"/>
      <c r="G41" s="893"/>
      <c r="H41" s="891"/>
      <c r="I41" s="915"/>
      <c r="J41" s="916"/>
      <c r="K41" s="904"/>
    </row>
    <row r="42" spans="1:11" ht="13.5" thickBot="1">
      <c r="A42" s="910"/>
      <c r="B42" s="892"/>
      <c r="C42" s="893"/>
      <c r="D42" s="896"/>
      <c r="E42" s="423"/>
      <c r="F42" s="423"/>
      <c r="G42" s="894"/>
      <c r="H42" s="891"/>
      <c r="I42" s="915"/>
      <c r="J42" s="916"/>
      <c r="K42" s="904"/>
    </row>
    <row r="43" spans="1:11" ht="13.5" thickBot="1">
      <c r="A43" s="917"/>
      <c r="B43" s="878" t="s">
        <v>809</v>
      </c>
      <c r="C43" s="879">
        <f>SUM(C33:C42)</f>
        <v>0</v>
      </c>
      <c r="D43" s="897">
        <f>SUM(D33:D42)</f>
        <v>0</v>
      </c>
      <c r="E43" s="880">
        <f>SUM(E33:E42)</f>
        <v>0</v>
      </c>
      <c r="F43" s="880">
        <f>SUM(F33:F42)</f>
        <v>0</v>
      </c>
      <c r="G43" s="890" t="s">
        <v>808</v>
      </c>
      <c r="H43" s="438"/>
      <c r="I43" s="918"/>
      <c r="J43" s="906"/>
      <c r="K43" s="907"/>
    </row>
  </sheetData>
  <sheetProtection password="802E" sheet="1"/>
  <printOptions/>
  <pageMargins left="0.7" right="0.7" top="0.75" bottom="0.75" header="0.3" footer="0.3"/>
  <pageSetup horizontalDpi="600" verticalDpi="600" orientation="portrait" paperSize="9" r:id="rId3"/>
  <ignoredErrors>
    <ignoredError sqref="H3:H4 K15:K39 C24 C6:C17 H21:H22 K2 H39 F40:G40 F39:G39 H40" evalError="1" unlockedFormula="1"/>
    <ignoredError sqref="C18:G23 C43:F43 C40:E40 I40:K40 H6:K14 H1:K1 H5:K5 I3:K4 H15:J20 D39:E39 I39:J39 C25:G32 D24:G24 D6:G17 H23:J38 I21:J22 H2:J2 D33:G38 I43:K43 H41:K42" unlockedFormula="1"/>
    <ignoredError sqref="H39 F40:G40 F39:G39" formula="1" unlockedFormula="1"/>
    <ignoredError sqref="H40" numberStoredAsText="1" formula="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Utente Windows</cp:lastModifiedBy>
  <cp:lastPrinted>2023-04-27T15:46:13Z</cp:lastPrinted>
  <dcterms:created xsi:type="dcterms:W3CDTF">1996-11-05T10:16:36Z</dcterms:created>
  <dcterms:modified xsi:type="dcterms:W3CDTF">2023-05-26T08:40:57Z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