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235" windowHeight="6435" firstSheet="1" activeTab="5"/>
  </bookViews>
  <sheets>
    <sheet name="Population &amp; Income" sheetId="1" r:id="rId1"/>
    <sheet name="Help Doc." sheetId="2" r:id="rId2"/>
    <sheet name="Armies" sheetId="3" r:id="rId3"/>
    <sheet name="Road Builder" sheetId="4" r:id="rId4"/>
    <sheet name="Port Builder" sheetId="5" r:id="rId5"/>
    <sheet name="Ship Builder"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<sst xmlns="http://schemas.openxmlformats.org/spreadsheetml/2006/main" count="990" uniqueCount="558">
  <si>
    <t>Population &amp; Taxes Worksheet</t>
  </si>
  <si>
    <t>Resulting Taxations per Population Level</t>
  </si>
  <si>
    <r>
      <t xml:space="preserve">Enter Values or </t>
    </r>
    <r>
      <rPr>
        <b/>
        <i/>
        <sz val="10"/>
        <rFont val="Arial"/>
        <family val="0"/>
      </rPr>
      <t>Y/N</t>
    </r>
    <r>
      <rPr>
        <i/>
        <sz val="10"/>
        <rFont val="Arial"/>
        <family val="0"/>
      </rPr>
      <t xml:space="preserve"> statements into shaded cells:</t>
    </r>
  </si>
  <si>
    <t>Borderland</t>
  </si>
  <si>
    <t>Settled</t>
  </si>
  <si>
    <t>Suburban</t>
  </si>
  <si>
    <t>Choose the Overall Taxation Level</t>
  </si>
  <si>
    <t>Villages</t>
  </si>
  <si>
    <t>Sm Towns</t>
  </si>
  <si>
    <t>Lg Towns</t>
  </si>
  <si>
    <t>Cities</t>
  </si>
  <si>
    <t>Enter "y" in the appropriate box below</t>
  </si>
  <si>
    <t>Low</t>
  </si>
  <si>
    <t>Medium</t>
  </si>
  <si>
    <t>High</t>
  </si>
  <si>
    <t>y</t>
  </si>
  <si>
    <r>
      <t xml:space="preserve">Population grids below  are designed for </t>
    </r>
    <r>
      <rPr>
        <b/>
        <i/>
        <u val="single"/>
        <sz val="10"/>
        <color indexed="10"/>
        <rFont val="Arial"/>
        <family val="0"/>
      </rPr>
      <t>8 mile hex scale</t>
    </r>
  </si>
  <si>
    <t>1. Enter number of hexes for each terrain combination</t>
  </si>
  <si>
    <t>Plains</t>
  </si>
  <si>
    <t>2. Create up to 10 different terrain combinations by entering a "Y" where appropriate</t>
  </si>
  <si>
    <t>Terrain Types:</t>
  </si>
  <si>
    <t>A</t>
  </si>
  <si>
    <t>B</t>
  </si>
  <si>
    <t>C</t>
  </si>
  <si>
    <t>D</t>
  </si>
  <si>
    <t>E</t>
  </si>
  <si>
    <t>F</t>
  </si>
  <si>
    <t>G</t>
  </si>
  <si>
    <t>H</t>
  </si>
  <si>
    <t>I</t>
  </si>
  <si>
    <t>J</t>
  </si>
  <si>
    <t># of Hexes:</t>
  </si>
  <si>
    <t>3. Enter a "Y" for the population level (pick only one for each terrain type)</t>
  </si>
  <si>
    <t>Featureless</t>
  </si>
  <si>
    <t>River/Coast</t>
  </si>
  <si>
    <t>Trail</t>
  </si>
  <si>
    <t>Road</t>
  </si>
  <si>
    <t>Lt Forest</t>
  </si>
  <si>
    <t>Hv Forest</t>
  </si>
  <si>
    <t>Jungle</t>
  </si>
  <si>
    <t>Volcano</t>
  </si>
  <si>
    <t>Total BPH Modifier:</t>
  </si>
  <si>
    <t>Wilderness</t>
  </si>
  <si>
    <t>Borderlands</t>
  </si>
  <si>
    <t>Settled Lands</t>
  </si>
  <si>
    <t>Single Hex Pop:</t>
  </si>
  <si>
    <t>Population:</t>
  </si>
  <si>
    <t>Tax Inc. (gp):</t>
  </si>
  <si>
    <t>Hills</t>
  </si>
  <si>
    <t>Mountains</t>
  </si>
  <si>
    <r>
      <t xml:space="preserve">Badlands </t>
    </r>
    <r>
      <rPr>
        <b/>
        <i/>
        <sz val="10"/>
        <color indexed="19"/>
        <rFont val="Arial"/>
        <family val="2"/>
      </rPr>
      <t>(steppes, swamps, bogs, broken lands)</t>
    </r>
  </si>
  <si>
    <t>Desert</t>
  </si>
  <si>
    <t>Total Farming Population:</t>
  </si>
  <si>
    <t>people</t>
  </si>
  <si>
    <t>Total Tax Income:</t>
  </si>
  <si>
    <t>gp</t>
  </si>
  <si>
    <t>Maximum Non-Farming Population*:</t>
  </si>
  <si>
    <t>(*) not counting urban fisheries</t>
  </si>
  <si>
    <t>Non-Farming Population</t>
  </si>
  <si>
    <t>Tolls &amp; Port Fees</t>
  </si>
  <si>
    <t>Enter Mine Sizes (up to 5 of each type)</t>
  </si>
  <si>
    <t>Mines</t>
  </si>
  <si>
    <t>Mine A</t>
  </si>
  <si>
    <t>Mine B</t>
  </si>
  <si>
    <t>Mine C</t>
  </si>
  <si>
    <t>Mine D</t>
  </si>
  <si>
    <t>Mine E</t>
  </si>
  <si>
    <r>
      <t xml:space="preserve">The </t>
    </r>
    <r>
      <rPr>
        <b/>
        <i/>
        <sz val="11"/>
        <color indexed="16"/>
        <rFont val="Arial"/>
        <family val="2"/>
      </rPr>
      <t>Size</t>
    </r>
    <r>
      <rPr>
        <b/>
        <i/>
        <sz val="11"/>
        <rFont val="Arial"/>
        <family val="2"/>
      </rPr>
      <t xml:space="preserve"> Categories are:</t>
    </r>
  </si>
  <si>
    <t>Income</t>
  </si>
  <si>
    <t>Salt</t>
  </si>
  <si>
    <t>Large</t>
  </si>
  <si>
    <t>Small</t>
  </si>
  <si>
    <t>Marble</t>
  </si>
  <si>
    <t>Average</t>
  </si>
  <si>
    <t>Iron</t>
  </si>
  <si>
    <t>Orn. Stones</t>
  </si>
  <si>
    <t>Major</t>
  </si>
  <si>
    <t>Copper</t>
  </si>
  <si>
    <t>Silver</t>
  </si>
  <si>
    <t>Gold</t>
  </si>
  <si>
    <t>Gems</t>
  </si>
  <si>
    <t>Total Income from Mines:</t>
  </si>
  <si>
    <t>gp/month</t>
  </si>
  <si>
    <t>Miners</t>
  </si>
  <si>
    <t>Recopy Number of Miners into the column</t>
  </si>
  <si>
    <t>labelled "Other Population"</t>
  </si>
  <si>
    <t>Other Resources or Incomes</t>
  </si>
  <si>
    <t>Name</t>
  </si>
  <si>
    <t>People</t>
  </si>
  <si>
    <t>Player's Notes:</t>
  </si>
  <si>
    <t>Stones Qarries</t>
  </si>
  <si>
    <t>Workers are convicts</t>
  </si>
  <si>
    <t>Silk Workshops</t>
  </si>
  <si>
    <t>Workers are people of Emdor</t>
  </si>
  <si>
    <t>Recopy Number of People</t>
  </si>
  <si>
    <t>Treasure Tax</t>
  </si>
  <si>
    <t>Adventurers incl. in local population</t>
  </si>
  <si>
    <t>into the Town Chart below</t>
  </si>
  <si>
    <t>Tax on Magic</t>
  </si>
  <si>
    <t>Estimated monthly amount</t>
  </si>
  <si>
    <r>
      <t xml:space="preserve">Enter </t>
    </r>
    <r>
      <rPr>
        <b/>
        <u val="single"/>
        <sz val="10"/>
        <color indexed="8"/>
        <rFont val="Arial"/>
        <family val="2"/>
      </rPr>
      <t>Number</t>
    </r>
    <r>
      <rPr>
        <b/>
        <u val="single"/>
        <sz val="10"/>
        <color indexed="61"/>
        <rFont val="Arial"/>
        <family val="2"/>
      </rPr>
      <t xml:space="preserve"> of trails or roads</t>
    </r>
  </si>
  <si>
    <t>Enter Location Names</t>
  </si>
  <si>
    <r>
      <t xml:space="preserve">collecting tolls </t>
    </r>
    <r>
      <rPr>
        <b/>
        <i/>
        <u val="single"/>
        <sz val="10"/>
        <color indexed="61"/>
        <rFont val="Arial"/>
        <family val="0"/>
      </rPr>
      <t>and</t>
    </r>
    <r>
      <rPr>
        <b/>
        <u val="single"/>
        <sz val="10"/>
        <color indexed="61"/>
        <rFont val="Arial"/>
        <family val="2"/>
      </rPr>
      <t xml:space="preserve"> connecting </t>
    </r>
  </si>
  <si>
    <t>Enter Population Numbers into the Appropriate Columns</t>
  </si>
  <si>
    <t>to another town or to a border</t>
  </si>
  <si>
    <t>Military</t>
  </si>
  <si>
    <t>Other Population</t>
  </si>
  <si>
    <t>Tolls</t>
  </si>
  <si>
    <t>Landlocked Locations</t>
  </si>
  <si>
    <t>Civilian Population</t>
  </si>
  <si>
    <t>Garrisons</t>
  </si>
  <si>
    <t>Number</t>
  </si>
  <si>
    <t>Kind</t>
  </si>
  <si>
    <t>Trails</t>
  </si>
  <si>
    <t>Roads</t>
  </si>
  <si>
    <t>Dubboka</t>
  </si>
  <si>
    <t>Yarndul</t>
  </si>
  <si>
    <t>Hommadar</t>
  </si>
  <si>
    <t>Zaag</t>
  </si>
  <si>
    <t>Umdha</t>
  </si>
  <si>
    <t>Emdor</t>
  </si>
  <si>
    <t>Rabadda</t>
  </si>
  <si>
    <t>Forts (x4)</t>
  </si>
  <si>
    <t>Abbey of Kloot</t>
  </si>
  <si>
    <t>Monks</t>
  </si>
  <si>
    <t>Gedh Salt Mine</t>
  </si>
  <si>
    <t>Ohtai Silver Mine (A)</t>
  </si>
  <si>
    <t>Etwag Silver Mine (B)</t>
  </si>
  <si>
    <r>
      <t xml:space="preserve">Coastal Locations </t>
    </r>
    <r>
      <rPr>
        <b/>
        <i/>
        <sz val="8"/>
        <color indexed="12"/>
        <rFont val="Arial"/>
        <family val="2"/>
      </rPr>
      <t>(fishing centers only)</t>
    </r>
    <r>
      <rPr>
        <b/>
        <sz val="10"/>
        <color indexed="12"/>
        <rFont val="Arial"/>
        <family val="2"/>
      </rPr>
      <t>:</t>
    </r>
  </si>
  <si>
    <t>Port Fees</t>
  </si>
  <si>
    <t>Eyoph</t>
  </si>
  <si>
    <t>Nagyar</t>
  </si>
  <si>
    <t>Hez</t>
  </si>
  <si>
    <t>Kech Penitenciary</t>
  </si>
  <si>
    <t>Convicts</t>
  </si>
  <si>
    <t>(stone quarries)</t>
  </si>
  <si>
    <t>Population Totals</t>
  </si>
  <si>
    <t>Toll Income (gp)</t>
  </si>
  <si>
    <t>Maritime resources in Villages:</t>
  </si>
  <si>
    <t>Tax Income (gp)</t>
  </si>
  <si>
    <t>N/A</t>
  </si>
  <si>
    <t>Maritime resources in S. Towns:</t>
  </si>
  <si>
    <t>Total Port Fees</t>
  </si>
  <si>
    <t>Maritime resources in L. Towns:</t>
  </si>
  <si>
    <r>
      <t xml:space="preserve">Define Local Sea-Faring Ability </t>
    </r>
    <r>
      <rPr>
        <b/>
        <i/>
        <sz val="8"/>
        <color indexed="12"/>
        <rFont val="Arial"/>
        <family val="2"/>
      </rPr>
      <t>(enter "Y" for one of three choices below)</t>
    </r>
  </si>
  <si>
    <t>Maritime resources in Cities:</t>
  </si>
  <si>
    <t>Fair</t>
  </si>
  <si>
    <t>Good</t>
  </si>
  <si>
    <t>This total may need to be adjusted</t>
  </si>
  <si>
    <t>Current Military</t>
  </si>
  <si>
    <t>Plains Wilderness</t>
  </si>
  <si>
    <t>Excellent</t>
  </si>
  <si>
    <t>later on according to the totals</t>
  </si>
  <si>
    <t>listed on the</t>
  </si>
  <si>
    <t>Plains Borderlands</t>
  </si>
  <si>
    <t>given in the Armies Worksheet</t>
  </si>
  <si>
    <t>Armies Worksheet</t>
  </si>
  <si>
    <t>Plains Settled Lands</t>
  </si>
  <si>
    <t>(see Budgets below)</t>
  </si>
  <si>
    <t>Plains Suburban</t>
  </si>
  <si>
    <t>Population Recap</t>
  </si>
  <si>
    <t>Hills Wilderness</t>
  </si>
  <si>
    <t>Farming Population:</t>
  </si>
  <si>
    <r>
      <t xml:space="preserve">people </t>
    </r>
    <r>
      <rPr>
        <b/>
        <sz val="10"/>
        <color indexed="17"/>
        <rFont val="Arial"/>
        <family val="2"/>
      </rPr>
      <t>(rural)</t>
    </r>
  </si>
  <si>
    <t>of total population</t>
  </si>
  <si>
    <t>Hills Borderlands</t>
  </si>
  <si>
    <t>Fishing Population:</t>
  </si>
  <si>
    <r>
      <t xml:space="preserve">people </t>
    </r>
    <r>
      <rPr>
        <b/>
        <sz val="10"/>
        <color indexed="25"/>
        <rFont val="Arial"/>
        <family val="2"/>
      </rPr>
      <t>(urban)</t>
    </r>
  </si>
  <si>
    <t>Hills Settled Lands</t>
  </si>
  <si>
    <t>Non-Farming Population:</t>
  </si>
  <si>
    <t>Hills Suburban</t>
  </si>
  <si>
    <t>Mnt Wilderness</t>
  </si>
  <si>
    <t>Including:</t>
  </si>
  <si>
    <t>Mnt Borderlands</t>
  </si>
  <si>
    <t>Civilians</t>
  </si>
  <si>
    <t>Badlands Wilderness</t>
  </si>
  <si>
    <t>Realm's or Dominion's Total Population:</t>
  </si>
  <si>
    <t>Badlands Borderlands</t>
  </si>
  <si>
    <t>Desert Wilderness</t>
  </si>
  <si>
    <t>Desert Borderland</t>
  </si>
  <si>
    <t>Geographic Miscellany</t>
  </si>
  <si>
    <t>Total Realm or Dominion's Surface:</t>
  </si>
  <si>
    <t>sq.miles</t>
  </si>
  <si>
    <t>Population Density:</t>
  </si>
  <si>
    <t>inhabitants/sq.mile</t>
  </si>
  <si>
    <t>Wilderness Regions:</t>
  </si>
  <si>
    <t>% of total surface</t>
  </si>
  <si>
    <t>Borderland Regions:</t>
  </si>
  <si>
    <t>Settled Lands:</t>
  </si>
  <si>
    <t>Incomes Recap</t>
  </si>
  <si>
    <t>Tax Income from Rural Population:</t>
  </si>
  <si>
    <t>of total income</t>
  </si>
  <si>
    <t>Tax Income from Urban Population:</t>
  </si>
  <si>
    <t>Mining Income:</t>
  </si>
  <si>
    <t>Other Incomes:</t>
  </si>
  <si>
    <t>Income from Trail/Road Tolls:</t>
  </si>
  <si>
    <t>Income from Port Duties:</t>
  </si>
  <si>
    <t>Fisheries Income:</t>
  </si>
  <si>
    <t>Total Income for the Realm or the Dominion:</t>
  </si>
  <si>
    <t>Average Tax Earnings/Tax-Payer:</t>
  </si>
  <si>
    <t>sp/month</t>
  </si>
  <si>
    <t>Average State Earnings/Capita:</t>
  </si>
  <si>
    <t>Budget for the Realm or the Dominion</t>
  </si>
  <si>
    <t>Answer "Y" below for the appropriate conditions</t>
  </si>
  <si>
    <t>Is this a tribute-paying dominion?</t>
  </si>
  <si>
    <t>Is this a tribute-collecting power?</t>
  </si>
  <si>
    <t>If yes, state the amount received</t>
  </si>
  <si>
    <t>Does this state sponsor a clergy?</t>
  </si>
  <si>
    <t>from vassal dominions:</t>
  </si>
  <si>
    <t>gp/mo</t>
  </si>
  <si>
    <t>Total Earnings:</t>
  </si>
  <si>
    <t>Budget Share for Each Item</t>
  </si>
  <si>
    <t>Imperial or Royal Share:</t>
  </si>
  <si>
    <t>% of total earnings</t>
  </si>
  <si>
    <t>Tithe:</t>
  </si>
  <si>
    <t>%</t>
  </si>
  <si>
    <t>Budget Priorities*</t>
  </si>
  <si>
    <t>(*) Enter "y" below, where appropriate</t>
  </si>
  <si>
    <t>Construction &amp; Upkeep:</t>
  </si>
  <si>
    <t>Military:</t>
  </si>
  <si>
    <t>Treasury:</t>
  </si>
  <si>
    <t>Petty Cash:</t>
  </si>
  <si>
    <t>gp/month*</t>
  </si>
  <si>
    <t>(*) Assume total treasury is about a</t>
  </si>
  <si>
    <t>year's worth of savings, possibly</t>
  </si>
  <si>
    <t>invested, for a total value of:</t>
  </si>
  <si>
    <t>Average Cost of Military:</t>
  </si>
  <si>
    <t>sp/month per warrior</t>
  </si>
  <si>
    <t>Hex Areas &amp; Conversions</t>
  </si>
  <si>
    <t>One 8-mile Hex = 55.42 sq. miles</t>
  </si>
  <si>
    <t>One 24-mile hex = 498.82 sq. miles</t>
  </si>
  <si>
    <t>One 72-mile hex = 4,489.02 sq. miles</t>
  </si>
  <si>
    <t>To convert 72-mile hexes for use with this worksheet, multiply the number of 72-mile hexes by 81</t>
  </si>
  <si>
    <t>To convert 24-mile hexes for use with this worksheet, multiply the number of 24-mile hexes by 9</t>
  </si>
  <si>
    <t>Total Military Budget:</t>
  </si>
  <si>
    <t>Enter "y" Below for Navy Budget Priorities</t>
  </si>
  <si>
    <t>None</t>
  </si>
  <si>
    <t>Total  Naval Forces Budget:</t>
  </si>
  <si>
    <t>Are rowers convicts or slaves:</t>
  </si>
  <si>
    <t>Enter Number</t>
  </si>
  <si>
    <t>Enter</t>
  </si>
  <si>
    <t>Number of Crew</t>
  </si>
  <si>
    <t>Crew</t>
  </si>
  <si>
    <t>Ship Types</t>
  </si>
  <si>
    <t>of Ships below</t>
  </si>
  <si>
    <t>Exp Lvl.</t>
  </si>
  <si>
    <t>Sailors</t>
  </si>
  <si>
    <t>Marines</t>
  </si>
  <si>
    <t>Rowers</t>
  </si>
  <si>
    <t>Officers</t>
  </si>
  <si>
    <t>Cost/Mo.</t>
  </si>
  <si>
    <t>Small Galley</t>
  </si>
  <si>
    <t>Large Galley</t>
  </si>
  <si>
    <t>War Galley</t>
  </si>
  <si>
    <t>Longship</t>
  </si>
  <si>
    <t>Small Sailing Ship</t>
  </si>
  <si>
    <t>Large Sailing Ship</t>
  </si>
  <si>
    <t>Troop Transport</t>
  </si>
  <si>
    <t>Total Fleet Size:</t>
  </si>
  <si>
    <t>Ships</t>
  </si>
  <si>
    <t>Total Crew:</t>
  </si>
  <si>
    <t>Total Crew Costs:</t>
  </si>
  <si>
    <t>OPTIMUM CREW COSTS:</t>
  </si>
  <si>
    <t>Ship Maintenance</t>
  </si>
  <si>
    <r>
      <t xml:space="preserve">Cash Transferred to </t>
    </r>
    <r>
      <rPr>
        <b/>
        <i/>
        <u val="single"/>
        <sz val="10"/>
        <color indexed="17"/>
        <rFont val="Arial"/>
        <family val="2"/>
      </rPr>
      <t>Land Forces</t>
    </r>
    <r>
      <rPr>
        <b/>
        <sz val="10"/>
        <rFont val="Arial"/>
        <family val="0"/>
      </rPr>
      <t>:</t>
    </r>
  </si>
  <si>
    <t>Total Land Forces Budget:</t>
  </si>
  <si>
    <t>Enter Relative</t>
  </si>
  <si>
    <t>Troop Types</t>
  </si>
  <si>
    <t>Budget Shares</t>
  </si>
  <si>
    <t>Light Infantry</t>
  </si>
  <si>
    <t>Spellcasters</t>
  </si>
  <si>
    <t>Heavy Infantry</t>
  </si>
  <si>
    <t>Monsters (specify)</t>
  </si>
  <si>
    <t>Monsters, spellcasters, etc</t>
  </si>
  <si>
    <t>Shortbowmen</t>
  </si>
  <si>
    <t>Longbowmen</t>
  </si>
  <si>
    <t>Mounted Archers</t>
  </si>
  <si>
    <t>Ballista Crews</t>
  </si>
  <si>
    <t>Lt Crossbowmen</t>
  </si>
  <si>
    <t>Lt Catapult Crews</t>
  </si>
  <si>
    <t>Hv Crossbowmen</t>
  </si>
  <si>
    <t>Hv Catapult Crews</t>
  </si>
  <si>
    <t>Light Horse Cav</t>
  </si>
  <si>
    <t>Trebuchet Crews</t>
  </si>
  <si>
    <t>Medium Horse Cav</t>
  </si>
  <si>
    <t>War Machine, Mediocre</t>
  </si>
  <si>
    <t>Heavy Horse Cav</t>
  </si>
  <si>
    <t>War Machine, Fair</t>
  </si>
  <si>
    <t>See Orcs of Thar GAZ10</t>
  </si>
  <si>
    <t>Elephant Cav</t>
  </si>
  <si>
    <t>War Machine, Good</t>
  </si>
  <si>
    <t>Pegasi Cav</t>
  </si>
  <si>
    <t>War Machine, Excellent</t>
  </si>
  <si>
    <t>Wyvern Cav</t>
  </si>
  <si>
    <t>Auxiliaries:</t>
  </si>
  <si>
    <t>(Must have)</t>
  </si>
  <si>
    <t>(*) Auxiliaries include: baggage train, horse handlers, bugles, drummers, menial workers or slave laborers, etc.</t>
  </si>
  <si>
    <t>Enter Basic Cost of troops below</t>
  </si>
  <si>
    <r>
      <t xml:space="preserve">Enter Soldiers </t>
    </r>
    <r>
      <rPr>
        <b/>
        <i/>
        <u val="single"/>
        <sz val="10"/>
        <color indexed="25"/>
        <rFont val="Arial"/>
        <family val="2"/>
      </rPr>
      <t>Starting</t>
    </r>
    <r>
      <rPr>
        <b/>
        <sz val="10"/>
        <color indexed="25"/>
        <rFont val="Arial"/>
        <family val="2"/>
      </rPr>
      <t xml:space="preserve"> Experience Levels</t>
    </r>
  </si>
  <si>
    <t>Total</t>
  </si>
  <si>
    <t xml:space="preserve"> if different from listed (gp/mo)</t>
  </si>
  <si>
    <t>or Monster HD below (see instructions)</t>
  </si>
  <si>
    <t>Troop Type</t>
  </si>
  <si>
    <t>Basic Cost</t>
  </si>
  <si>
    <t>Exp. Lvl</t>
  </si>
  <si>
    <t>Heroes</t>
  </si>
  <si>
    <t>Captains</t>
  </si>
  <si>
    <t>Sergeants</t>
  </si>
  <si>
    <t>Soldiers</t>
  </si>
  <si>
    <t>Cost</t>
  </si>
  <si>
    <t>$/Heroes</t>
  </si>
  <si>
    <t>$/Capt.</t>
  </si>
  <si>
    <t>$/Sarge</t>
  </si>
  <si>
    <t>$/Soldrs</t>
  </si>
  <si>
    <t>Auxiliaries*</t>
  </si>
  <si>
    <t>Total Troops:</t>
  </si>
  <si>
    <t>Total Troops</t>
  </si>
  <si>
    <t>Lt Horses</t>
  </si>
  <si>
    <t>Ballistae</t>
  </si>
  <si>
    <t>M Horses</t>
  </si>
  <si>
    <t>Lt Catapults</t>
  </si>
  <si>
    <t>Hv Horses</t>
  </si>
  <si>
    <t>Hv Catapults</t>
  </si>
  <si>
    <t>Elephants</t>
  </si>
  <si>
    <t>Trebuchets</t>
  </si>
  <si>
    <t>Pegasi</t>
  </si>
  <si>
    <t>Baggage Train</t>
  </si>
  <si>
    <t>Wyverns</t>
  </si>
  <si>
    <t>Wagons:</t>
  </si>
  <si>
    <t>Mules or Oxen:</t>
  </si>
  <si>
    <t>Total Number of People in Military:</t>
  </si>
  <si>
    <t>Navymen &amp; Soldiers (&amp; Monsters)</t>
  </si>
  <si>
    <t>Coming next… Equipment Recap &amp; Armories</t>
  </si>
  <si>
    <t>Road Builder</t>
  </si>
  <si>
    <t>Roads &amp; Trails</t>
  </si>
  <si>
    <t>Enter Number of Workers Below:</t>
  </si>
  <si>
    <r>
      <t>Enter an "</t>
    </r>
    <r>
      <rPr>
        <b/>
        <sz val="10"/>
        <color indexed="10"/>
        <rFont val="Arial"/>
        <family val="2"/>
      </rPr>
      <t>x</t>
    </r>
    <r>
      <rPr>
        <b/>
        <sz val="10"/>
        <color indexed="25"/>
        <rFont val="Arial"/>
        <family val="0"/>
      </rPr>
      <t>" into the Appropriate Boxes Below:</t>
    </r>
  </si>
  <si>
    <t>Leadership &amp; Organization</t>
  </si>
  <si>
    <t>Situational Adjustments</t>
  </si>
  <si>
    <t>Limited Supplies</t>
  </si>
  <si>
    <t>x</t>
  </si>
  <si>
    <t>Unadapted Tools</t>
  </si>
  <si>
    <t>Harsh Climate</t>
  </si>
  <si>
    <t>Outstanding</t>
  </si>
  <si>
    <t>Perilous Conditions</t>
  </si>
  <si>
    <t>Workforce Quality</t>
  </si>
  <si>
    <t>Workforce Motivation</t>
  </si>
  <si>
    <t>Hostile</t>
  </si>
  <si>
    <t>Indifferent</t>
  </si>
  <si>
    <t>Motivated</t>
  </si>
  <si>
    <t>Fanatical</t>
  </si>
  <si>
    <t>Scope of Project</t>
  </si>
  <si>
    <t>Map Scale</t>
  </si>
  <si>
    <t>Trail, Dirt Road</t>
  </si>
  <si>
    <t>8 miles/hex</t>
  </si>
  <si>
    <t>Paved Road</t>
  </si>
  <si>
    <t>24 miles/hex</t>
  </si>
  <si>
    <t>15' Wide</t>
  </si>
  <si>
    <t>72 miles/hex</t>
  </si>
  <si>
    <t>30' Wide</t>
  </si>
  <si>
    <t>Other*</t>
  </si>
  <si>
    <t>45' Wide</t>
  </si>
  <si>
    <t>(*) enter scale</t>
  </si>
  <si>
    <t>Mileage:</t>
  </si>
  <si>
    <t>Terrain Types</t>
  </si>
  <si>
    <t>Plains/Grassland</t>
  </si>
  <si>
    <t>Mnts/Broken Lands</t>
  </si>
  <si>
    <t>Swamp</t>
  </si>
  <si>
    <t>Soft Terrain</t>
  </si>
  <si>
    <t>Total BC Modifier:</t>
  </si>
  <si>
    <t>Total Trail/Road Length:</t>
  </si>
  <si>
    <t>miles</t>
  </si>
  <si>
    <t>Total Construction Cost:</t>
  </si>
  <si>
    <t>Total Construction Time:</t>
  </si>
  <si>
    <t>Construction Budget:</t>
  </si>
  <si>
    <t>Upkeep after 1st Year:</t>
  </si>
  <si>
    <t>Death Toll:</t>
  </si>
  <si>
    <t>workers/month</t>
  </si>
  <si>
    <t>Bridges</t>
  </si>
  <si>
    <t>River Width</t>
  </si>
  <si>
    <t>Width of Bridge</t>
  </si>
  <si>
    <t>Minor</t>
  </si>
  <si>
    <t>up to 150'</t>
  </si>
  <si>
    <t>Common</t>
  </si>
  <si>
    <t>up to 500'</t>
  </si>
  <si>
    <t>up to 1,500'</t>
  </si>
  <si>
    <t>Very Large</t>
  </si>
  <si>
    <t>60' Wide</t>
  </si>
  <si>
    <t>up to 5,000'</t>
  </si>
  <si>
    <t>Wondrous</t>
  </si>
  <si>
    <t>90' Wide</t>
  </si>
  <si>
    <t>with Drawbridge</t>
  </si>
  <si>
    <t>Bridge Style</t>
  </si>
  <si>
    <t>Wood, simple</t>
  </si>
  <si>
    <t>Wood, elaborate</t>
  </si>
  <si>
    <t>Stone, simple</t>
  </si>
  <si>
    <t>Stone, elaborate</t>
  </si>
  <si>
    <t>Port Builder</t>
  </si>
  <si>
    <t>Leadership/Organization</t>
  </si>
  <si>
    <t>Environment</t>
  </si>
  <si>
    <t>Check One</t>
  </si>
  <si>
    <t>Village (or other)</t>
  </si>
  <si>
    <t>Small Town</t>
  </si>
  <si>
    <t>Large Town</t>
  </si>
  <si>
    <t>City</t>
  </si>
  <si>
    <t>Expropriation</t>
  </si>
  <si>
    <t>Level of Corruption</t>
  </si>
  <si>
    <t>Vacant Land</t>
  </si>
  <si>
    <t>Slums</t>
  </si>
  <si>
    <t>Baronial Pettiness</t>
  </si>
  <si>
    <t>Tenements</t>
  </si>
  <si>
    <t>Royal Bribery</t>
  </si>
  <si>
    <t>Motal Modifier %</t>
  </si>
  <si>
    <t>Expensive Property</t>
  </si>
  <si>
    <t>Imperial Money-Pit</t>
  </si>
  <si>
    <t>Docking Data</t>
  </si>
  <si>
    <t>Wood</t>
  </si>
  <si>
    <t>Stone</t>
  </si>
  <si>
    <t>Enter Port Capacity</t>
  </si>
  <si>
    <t>Piers &amp; WH</t>
  </si>
  <si>
    <t>Dock Length</t>
  </si>
  <si>
    <t>Dock Area</t>
  </si>
  <si>
    <t>Cost Docks</t>
  </si>
  <si>
    <t>Area WH</t>
  </si>
  <si>
    <t>Cost WH</t>
  </si>
  <si>
    <t>Area Dry-D</t>
  </si>
  <si>
    <t>Cost Dry-D</t>
  </si>
  <si>
    <t>Bwaters-S</t>
  </si>
  <si>
    <t>Bwater-F</t>
  </si>
  <si>
    <t>LH-Sm</t>
  </si>
  <si>
    <t>LH-Lg</t>
  </si>
  <si>
    <t>LH-Wndrs</t>
  </si>
  <si>
    <t>Hull Points:</t>
  </si>
  <si>
    <t>Docking Size</t>
  </si>
  <si>
    <t>Other Port Features</t>
  </si>
  <si>
    <r>
      <t>Breakwaters</t>
    </r>
    <r>
      <rPr>
        <b/>
        <sz val="10"/>
        <rFont val="Arial"/>
        <family val="0"/>
      </rPr>
      <t>:</t>
    </r>
  </si>
  <si>
    <t xml:space="preserve"> Length (ft.)</t>
  </si>
  <si>
    <t>TTL Cost</t>
  </si>
  <si>
    <t>Simple</t>
  </si>
  <si>
    <t>Warehouses</t>
  </si>
  <si>
    <t>Fortified</t>
  </si>
  <si>
    <t>Dry Docks</t>
  </si>
  <si>
    <r>
      <t>Lighthouse</t>
    </r>
    <r>
      <rPr>
        <b/>
        <sz val="10"/>
        <rFont val="Arial"/>
        <family val="0"/>
      </rPr>
      <t>:</t>
    </r>
  </si>
  <si>
    <t>Number of each</t>
  </si>
  <si>
    <t>Construction Time:</t>
  </si>
  <si>
    <t>TTL Area</t>
  </si>
  <si>
    <t>Types of Docks</t>
  </si>
  <si>
    <t>Wooden</t>
  </si>
  <si>
    <t>Additional Features</t>
  </si>
  <si>
    <t>Description:</t>
  </si>
  <si>
    <t>Great water gate &amp; towers</t>
  </si>
  <si>
    <t>Harbor Master Quarters</t>
  </si>
  <si>
    <t>Check</t>
  </si>
  <si>
    <t>Total Surface (sqft.)</t>
  </si>
  <si>
    <t>Total Cost (gp)</t>
  </si>
  <si>
    <t>Resulting Port Specifications:</t>
  </si>
  <si>
    <t>Number of Piers:</t>
  </si>
  <si>
    <t>Number of Warehouses:</t>
  </si>
  <si>
    <t>Approx. Pier Dimensions:</t>
  </si>
  <si>
    <t>Approx. Warehouse Dimensions:</t>
  </si>
  <si>
    <t>Approx. Distance Between Piers:</t>
  </si>
  <si>
    <t>Number of Dry Docks:</t>
  </si>
  <si>
    <t>Sites</t>
  </si>
  <si>
    <t>Total Useable Dock Length:</t>
  </si>
  <si>
    <t>(ft)</t>
  </si>
  <si>
    <t>Total Dry Docks Capacity:</t>
  </si>
  <si>
    <t>HP</t>
  </si>
  <si>
    <t xml:space="preserve">or: </t>
  </si>
  <si>
    <t>(miles)</t>
  </si>
  <si>
    <t>Approx. Size of Dry Docks:</t>
  </si>
  <si>
    <t>Total Surface of Port Facilities:</t>
  </si>
  <si>
    <t>sq.ft.</t>
  </si>
  <si>
    <t>including main docks, piers, warehouses, ship yards, &amp; additional features</t>
  </si>
  <si>
    <t>Port Clearance:</t>
  </si>
  <si>
    <t>Total Cost of Constructions:</t>
  </si>
  <si>
    <t>Port Workers  *</t>
  </si>
  <si>
    <t>Longshoremen:</t>
  </si>
  <si>
    <t>or</t>
  </si>
  <si>
    <t>Shipbuilders:</t>
  </si>
  <si>
    <t>Guards/Military:</t>
  </si>
  <si>
    <t>Construction Workers:</t>
  </si>
  <si>
    <t>Total:</t>
  </si>
  <si>
    <t>(*) Assuming full capacity</t>
  </si>
  <si>
    <t>Ship Builder</t>
  </si>
  <si>
    <t>Worksheet under Construction, playtest notes welcome!</t>
  </si>
  <si>
    <t>Enter Ship's Name Below:</t>
  </si>
  <si>
    <t>The Sea Gorgon</t>
  </si>
  <si>
    <t>Enter Number of Ship Yard Workers Below:</t>
  </si>
  <si>
    <t>Leaders</t>
  </si>
  <si>
    <t>Ports</t>
  </si>
  <si>
    <t>Seamanship</t>
  </si>
  <si>
    <t>Workforce</t>
  </si>
  <si>
    <t>Corruption</t>
  </si>
  <si>
    <t>Total Cost Modifier:</t>
  </si>
  <si>
    <t>Seafaring Tradition</t>
  </si>
  <si>
    <t>Design</t>
  </si>
  <si>
    <t>Function/Cap</t>
  </si>
  <si>
    <t>Function/Sp</t>
  </si>
  <si>
    <t>Sail Speed</t>
  </si>
  <si>
    <t>Oar Speed</t>
  </si>
  <si>
    <t>BC</t>
  </si>
  <si>
    <t>Cost Mod</t>
  </si>
  <si>
    <t>Port Rating</t>
  </si>
  <si>
    <t>Very Small-Small</t>
  </si>
  <si>
    <t>Length</t>
  </si>
  <si>
    <t>Beam</t>
  </si>
  <si>
    <t>Draft</t>
  </si>
  <si>
    <t>Deck Height</t>
  </si>
  <si>
    <t>Capacity</t>
  </si>
  <si>
    <t>AC</t>
  </si>
  <si>
    <t>Masts</t>
  </si>
  <si>
    <t>Total Crew</t>
  </si>
  <si>
    <t>Deco</t>
  </si>
  <si>
    <t>Large-Very Large</t>
  </si>
  <si>
    <t>Galley</t>
  </si>
  <si>
    <t>Huge</t>
  </si>
  <si>
    <t>Sail Ship</t>
  </si>
  <si>
    <t>Ship Size</t>
  </si>
  <si>
    <t>Length in feet</t>
  </si>
  <si>
    <t>Ship Type</t>
  </si>
  <si>
    <t>Crew Data</t>
  </si>
  <si>
    <t>Special</t>
  </si>
  <si>
    <t>Ship</t>
  </si>
  <si>
    <t>Rowers are</t>
  </si>
  <si>
    <t>(y/n)</t>
  </si>
  <si>
    <t>Type</t>
  </si>
  <si>
    <t>convicts or slaves:</t>
  </si>
  <si>
    <t>Experience Level</t>
  </si>
  <si>
    <t>(Number)</t>
  </si>
  <si>
    <t>of the Crew:</t>
  </si>
  <si>
    <t>Ship Function</t>
  </si>
  <si>
    <t>Transport, fast</t>
  </si>
  <si>
    <t>Ship Style</t>
  </si>
  <si>
    <t>Transport, heavy</t>
  </si>
  <si>
    <t>Humble</t>
  </si>
  <si>
    <t>Warship, fast</t>
  </si>
  <si>
    <t>Functional</t>
  </si>
  <si>
    <t>Warship, heavy</t>
  </si>
  <si>
    <t>Lavish</t>
  </si>
  <si>
    <t>Welcome aboard the</t>
  </si>
  <si>
    <t>Ship Dimensions</t>
  </si>
  <si>
    <t>Ship Crew</t>
  </si>
  <si>
    <t>ft</t>
  </si>
  <si>
    <t>Main Deck Height</t>
  </si>
  <si>
    <t>Number of Masts</t>
  </si>
  <si>
    <t>Game Statistics</t>
  </si>
  <si>
    <t>Construction Time &amp; Costs</t>
  </si>
  <si>
    <t>Price for Dominion Rulers</t>
  </si>
  <si>
    <t>Hull Points</t>
  </si>
  <si>
    <t>Construction</t>
  </si>
  <si>
    <t>Armor Class</t>
  </si>
  <si>
    <t>Maintenance</t>
  </si>
  <si>
    <t>gp/Mo</t>
  </si>
  <si>
    <t>cn</t>
  </si>
  <si>
    <t>Est. Price for Adventurers</t>
  </si>
  <si>
    <t>per round</t>
  </si>
  <si>
    <t>per day</t>
  </si>
  <si>
    <t>days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</si>
</sst>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00_);_(* \(#,##0.000\);_(* &quot;-&quot;??_);_(@_)"/>
    <numFmt numFmtId="175" formatCode="_(* #,##0.0000_);_(* \(#,##0.0000\);_(* &quot;-&quot;??_);_(@_)"/>
    <numFmt numFmtId="176" formatCode="0.0%"/>
    <numFmt numFmtId="177" formatCode="0.0"/>
    <numFmt numFmtId="178" formatCode="0.000"/>
    <numFmt numFmtId="179" formatCode="0.0000"/>
    <numFmt numFmtId="180" formatCode="0.00000"/>
    <numFmt numFmtId="181" formatCode="0.000000"/>
    <numFmt numFmtId="182" formatCode="0.0000000"/>
    <numFmt numFmtId="183" formatCode="0.00000000"/>
  </numFmts>
  <fonts count="180">
    <font>
      <sz val="10"/>
      <name val="Arial"/>
      <family val="0"/>
    </font>
    <font>
      <b/>
      <sz val="10"/>
      <name val="Arial"/>
      <family val="0"/>
    </font>
    <font>
      <i/>
      <sz val="10"/>
      <name val="Arial"/>
      <family val="0"/>
    </font>
    <font>
      <b/>
      <i/>
      <sz val="10"/>
      <name val="Arial"/>
      <family val="0"/>
    </font>
    <font>
      <sz val="10"/>
      <color indexed="10"/>
      <name val="Arial"/>
      <family val="2"/>
    </font>
    <font>
      <b/>
      <sz val="10"/>
      <color indexed="10"/>
      <name val="Arial"/>
      <family val="0"/>
    </font>
    <font>
      <b/>
      <sz val="10"/>
      <color indexed="12"/>
      <name val="Arial"/>
      <family val="2"/>
    </font>
    <font>
      <b/>
      <sz val="10"/>
      <color indexed="60"/>
      <name val="Arial"/>
      <family val="2"/>
    </font>
    <font>
      <b/>
      <sz val="14"/>
      <name val="Arial"/>
      <family val="2"/>
    </font>
    <font>
      <b/>
      <sz val="10"/>
      <color indexed="45"/>
      <name val="Arial"/>
      <family val="2"/>
    </font>
    <font>
      <b/>
      <sz val="10"/>
      <color indexed="53"/>
      <name val="Arial"/>
      <family val="2"/>
    </font>
    <font>
      <b/>
      <sz val="10"/>
      <color indexed="61"/>
      <name val="Arial"/>
      <family val="2"/>
    </font>
    <font>
      <b/>
      <sz val="10"/>
      <color indexed="51"/>
      <name val="Arial"/>
      <family val="2"/>
    </font>
    <font>
      <b/>
      <sz val="10"/>
      <color indexed="17"/>
      <name val="Arial"/>
      <family val="2"/>
    </font>
    <font>
      <b/>
      <sz val="10"/>
      <color indexed="19"/>
      <name val="Arial"/>
      <family val="2"/>
    </font>
    <font>
      <b/>
      <sz val="10"/>
      <color indexed="57"/>
      <name val="Arial"/>
      <family val="2"/>
    </font>
    <font>
      <b/>
      <sz val="14"/>
      <color indexed="17"/>
      <name val="Arial"/>
      <family val="2"/>
    </font>
    <font>
      <b/>
      <sz val="10"/>
      <color indexed="20"/>
      <name val="Arial"/>
      <family val="2"/>
    </font>
    <font>
      <b/>
      <sz val="10"/>
      <color indexed="29"/>
      <name val="Arial"/>
      <family val="2"/>
    </font>
    <font>
      <b/>
      <sz val="10"/>
      <color indexed="16"/>
      <name val="Arial"/>
      <family val="2"/>
    </font>
    <font>
      <b/>
      <i/>
      <u val="single"/>
      <sz val="10"/>
      <color indexed="10"/>
      <name val="Arial"/>
      <family val="2"/>
    </font>
    <font>
      <b/>
      <i/>
      <u val="single"/>
      <sz val="10"/>
      <color indexed="17"/>
      <name val="Arial"/>
      <family val="2"/>
    </font>
    <font>
      <b/>
      <i/>
      <u val="single"/>
      <sz val="10"/>
      <color indexed="25"/>
      <name val="Arial"/>
      <family val="2"/>
    </font>
    <font>
      <b/>
      <sz val="14"/>
      <color indexed="29"/>
      <name val="Arial"/>
      <family val="2"/>
    </font>
    <font>
      <b/>
      <sz val="14"/>
      <color indexed="60"/>
      <name val="Arial"/>
      <family val="2"/>
    </font>
    <font>
      <b/>
      <sz val="14"/>
      <color indexed="19"/>
      <name val="Arial"/>
      <family val="2"/>
    </font>
    <font>
      <b/>
      <sz val="14"/>
      <color indexed="37"/>
      <name val="Arial"/>
      <family val="2"/>
    </font>
    <font>
      <b/>
      <i/>
      <sz val="10"/>
      <color indexed="19"/>
      <name val="Arial"/>
      <family val="2"/>
    </font>
    <font>
      <b/>
      <i/>
      <sz val="10"/>
      <color indexed="12"/>
      <name val="Arial"/>
      <family val="0"/>
    </font>
    <font>
      <b/>
      <i/>
      <u val="single"/>
      <sz val="10"/>
      <color indexed="36"/>
      <name val="Arial"/>
      <family val="2"/>
    </font>
    <font>
      <i/>
      <sz val="8"/>
      <name val="Arial"/>
      <family val="2"/>
    </font>
    <font>
      <sz val="9"/>
      <name val="Arial"/>
      <family val="2"/>
    </font>
    <font>
      <sz val="10"/>
      <color indexed="20"/>
      <name val="Arial"/>
      <family val="2"/>
    </font>
    <font>
      <b/>
      <sz val="9"/>
      <color indexed="12"/>
      <name val="Arial"/>
      <family val="2"/>
    </font>
    <font>
      <b/>
      <sz val="10"/>
      <color indexed="23"/>
      <name val="Arial"/>
      <family val="2"/>
    </font>
    <font>
      <b/>
      <i/>
      <sz val="8"/>
      <color indexed="12"/>
      <name val="Arial"/>
      <family val="2"/>
    </font>
    <font>
      <b/>
      <sz val="10"/>
      <color indexed="8"/>
      <name val="Arial"/>
      <family val="2"/>
    </font>
    <font>
      <b/>
      <i/>
      <sz val="10"/>
      <color indexed="10"/>
      <name val="Arial"/>
      <family val="0"/>
    </font>
    <font>
      <b/>
      <sz val="10"/>
      <color indexed="47"/>
      <name val="Arial"/>
      <family val="2"/>
    </font>
    <font>
      <sz val="10"/>
      <color indexed="47"/>
      <name val="Arial"/>
      <family val="2"/>
    </font>
    <font>
      <b/>
      <i/>
      <u val="single"/>
      <sz val="10"/>
      <color indexed="47"/>
      <name val="Arial"/>
      <family val="2"/>
    </font>
    <font>
      <i/>
      <sz val="10"/>
      <color indexed="10"/>
      <name val="Arial"/>
      <family val="2"/>
    </font>
    <font>
      <sz val="10"/>
      <color indexed="60"/>
      <name val="Arial"/>
      <family val="2"/>
    </font>
    <font>
      <b/>
      <i/>
      <sz val="16"/>
      <color indexed="13"/>
      <name val="Arial"/>
      <family val="2"/>
    </font>
    <font>
      <b/>
      <i/>
      <sz val="10"/>
      <color indexed="16"/>
      <name val="Arial"/>
      <family val="2"/>
    </font>
    <font>
      <b/>
      <u val="single"/>
      <sz val="10"/>
      <color indexed="61"/>
      <name val="Arial"/>
      <family val="2"/>
    </font>
    <font>
      <sz val="10"/>
      <color indexed="17"/>
      <name val="Arial"/>
      <family val="0"/>
    </font>
    <font>
      <b/>
      <sz val="10"/>
      <color indexed="60"/>
      <name val="Arial Narrow"/>
      <family val="2"/>
    </font>
    <font>
      <b/>
      <sz val="10"/>
      <name val="Arial Narrow"/>
      <family val="2"/>
    </font>
    <font>
      <sz val="10"/>
      <name val="Arial Narrow"/>
      <family val="2"/>
    </font>
    <font>
      <b/>
      <sz val="9"/>
      <color indexed="36"/>
      <name val="Arial Narrow"/>
      <family val="2"/>
    </font>
    <font>
      <b/>
      <sz val="9"/>
      <color indexed="12"/>
      <name val="Arial Narrow"/>
      <family val="2"/>
    </font>
    <font>
      <b/>
      <sz val="9"/>
      <color indexed="10"/>
      <name val="Arial Narrow"/>
      <family val="2"/>
    </font>
    <font>
      <b/>
      <sz val="10"/>
      <color indexed="12"/>
      <name val="Arial Narrow"/>
      <family val="2"/>
    </font>
    <font>
      <b/>
      <sz val="10"/>
      <color indexed="10"/>
      <name val="Arial Narrow"/>
      <family val="2"/>
    </font>
    <font>
      <b/>
      <sz val="10"/>
      <color indexed="17"/>
      <name val="Arial Narrow"/>
      <family val="2"/>
    </font>
    <font>
      <sz val="10"/>
      <color indexed="12"/>
      <name val="Arial Narrow"/>
      <family val="2"/>
    </font>
    <font>
      <sz val="10"/>
      <color indexed="10"/>
      <name val="Arial Narrow"/>
      <family val="2"/>
    </font>
    <font>
      <sz val="10"/>
      <color indexed="17"/>
      <name val="Arial Narrow"/>
      <family val="2"/>
    </font>
    <font>
      <b/>
      <sz val="10"/>
      <color indexed="23"/>
      <name val="Arial Narrow"/>
      <family val="2"/>
    </font>
    <font>
      <b/>
      <u val="single"/>
      <sz val="10"/>
      <color indexed="8"/>
      <name val="Arial"/>
      <family val="2"/>
    </font>
    <font>
      <b/>
      <sz val="10"/>
      <color indexed="61"/>
      <name val="Arial MT Black"/>
      <family val="0"/>
    </font>
    <font>
      <b/>
      <i/>
      <u val="single"/>
      <sz val="10"/>
      <color indexed="61"/>
      <name val="Arial"/>
      <family val="0"/>
    </font>
    <font>
      <b/>
      <sz val="9"/>
      <name val="Arial Narrow"/>
      <family val="2"/>
    </font>
    <font>
      <b/>
      <sz val="9"/>
      <color indexed="17"/>
      <name val="Arial"/>
      <family val="2"/>
    </font>
    <font>
      <b/>
      <sz val="9"/>
      <color indexed="17"/>
      <name val="Arial Narrow"/>
      <family val="2"/>
    </font>
    <font>
      <b/>
      <i/>
      <sz val="11"/>
      <name val="Arial"/>
      <family val="2"/>
    </font>
    <font>
      <b/>
      <i/>
      <sz val="11"/>
      <color indexed="16"/>
      <name val="Arial"/>
      <family val="2"/>
    </font>
    <font>
      <b/>
      <sz val="11"/>
      <name val="Arial"/>
      <family val="2"/>
    </font>
    <font>
      <b/>
      <sz val="10"/>
      <color indexed="13"/>
      <name val="Arial Narrow"/>
      <family val="2"/>
    </font>
    <font>
      <b/>
      <sz val="9"/>
      <color indexed="16"/>
      <name val="Arial Narrow"/>
      <family val="2"/>
    </font>
    <font>
      <sz val="10"/>
      <color indexed="47"/>
      <name val="Arial Narrow"/>
      <family val="0"/>
    </font>
    <font>
      <b/>
      <sz val="10"/>
      <color indexed="25"/>
      <name val="Arial"/>
      <family val="2"/>
    </font>
    <font>
      <b/>
      <sz val="9"/>
      <color indexed="16"/>
      <name val="Arial"/>
      <family val="2"/>
    </font>
    <font>
      <b/>
      <sz val="9"/>
      <color indexed="60"/>
      <name val="Arial"/>
      <family val="2"/>
    </font>
    <font>
      <b/>
      <sz val="9"/>
      <color indexed="19"/>
      <name val="Arial"/>
      <family val="2"/>
    </font>
    <font>
      <b/>
      <sz val="9"/>
      <color indexed="29"/>
      <name val="Arial"/>
      <family val="2"/>
    </font>
    <font>
      <sz val="9"/>
      <color indexed="20"/>
      <name val="Arial Narrow"/>
      <family val="2"/>
    </font>
    <font>
      <sz val="9"/>
      <name val="Arial Narrow"/>
      <family val="2"/>
    </font>
    <font>
      <b/>
      <sz val="9"/>
      <color indexed="20"/>
      <name val="Arial Narrow"/>
      <family val="2"/>
    </font>
    <font>
      <b/>
      <sz val="10"/>
      <color indexed="55"/>
      <name val="Arial"/>
      <family val="2"/>
    </font>
    <font>
      <sz val="10"/>
      <color indexed="12"/>
      <name val="Arial"/>
      <family val="2"/>
    </font>
    <font>
      <b/>
      <sz val="10"/>
      <color indexed="9"/>
      <name val="Arial"/>
      <family val="2"/>
    </font>
    <font>
      <sz val="10"/>
      <color indexed="9"/>
      <name val="Arial"/>
      <family val="2"/>
    </font>
    <font>
      <b/>
      <i/>
      <sz val="10"/>
      <color indexed="25"/>
      <name val="Arial"/>
      <family val="2"/>
    </font>
    <font>
      <b/>
      <i/>
      <sz val="12"/>
      <color indexed="25"/>
      <name val="Arial"/>
      <family val="2"/>
    </font>
    <font>
      <b/>
      <sz val="14"/>
      <color indexed="12"/>
      <name val="Arial"/>
      <family val="2"/>
    </font>
    <font>
      <sz val="14"/>
      <name val="Arial"/>
      <family val="2"/>
    </font>
    <font>
      <b/>
      <sz val="14"/>
      <color indexed="16"/>
      <name val="Arial"/>
      <family val="2"/>
    </font>
    <font>
      <sz val="14"/>
      <color indexed="16"/>
      <name val="Arial"/>
      <family val="2"/>
    </font>
    <font>
      <b/>
      <sz val="9"/>
      <color indexed="25"/>
      <name val="Arial Narrow"/>
      <family val="2"/>
    </font>
    <font>
      <b/>
      <i/>
      <sz val="9"/>
      <color indexed="25"/>
      <name val="Arial Narrow"/>
      <family val="2"/>
    </font>
    <font>
      <i/>
      <sz val="10"/>
      <color indexed="25"/>
      <name val="Arial"/>
      <family val="2"/>
    </font>
    <font>
      <b/>
      <i/>
      <sz val="10"/>
      <color indexed="9"/>
      <name val="Arial"/>
      <family val="0"/>
    </font>
    <font>
      <b/>
      <sz val="18"/>
      <name val="Arial"/>
      <family val="2"/>
    </font>
    <font>
      <sz val="10"/>
      <color indexed="8"/>
      <name val="Arial"/>
      <family val="2"/>
    </font>
    <font>
      <sz val="10"/>
      <color indexed="25"/>
      <name val="Arial"/>
      <family val="0"/>
    </font>
    <font>
      <b/>
      <i/>
      <sz val="10"/>
      <color indexed="25"/>
      <name val="Arial Narrow"/>
      <family val="2"/>
    </font>
    <font>
      <i/>
      <sz val="10"/>
      <color indexed="23"/>
      <name val="Arial"/>
      <family val="2"/>
    </font>
    <font>
      <b/>
      <i/>
      <sz val="9"/>
      <color indexed="9"/>
      <name val="Arial Narrow"/>
      <family val="2"/>
    </font>
    <font>
      <b/>
      <sz val="10"/>
      <color indexed="13"/>
      <name val="Arial"/>
      <family val="2"/>
    </font>
    <font>
      <i/>
      <sz val="16"/>
      <color indexed="13"/>
      <name val="Arial"/>
      <family val="2"/>
    </font>
    <font>
      <sz val="10"/>
      <color indexed="23"/>
      <name val="Arial"/>
      <family val="2"/>
    </font>
    <font>
      <sz val="10"/>
      <color indexed="13"/>
      <name val="Arial"/>
      <family val="2"/>
    </font>
    <font>
      <b/>
      <i/>
      <sz val="10"/>
      <color indexed="23"/>
      <name val="Arial"/>
      <family val="2"/>
    </font>
    <font>
      <b/>
      <i/>
      <sz val="8"/>
      <color indexed="8"/>
      <name val="Arial Narrow"/>
      <family val="2"/>
    </font>
    <font>
      <b/>
      <sz val="9"/>
      <color indexed="8"/>
      <name val="Arial Narrow"/>
      <family val="2"/>
    </font>
    <font>
      <i/>
      <sz val="8"/>
      <color indexed="8"/>
      <name val="Arial Narrow"/>
      <family val="2"/>
    </font>
    <font>
      <b/>
      <i/>
      <sz val="9"/>
      <color indexed="8"/>
      <name val="Arial Narrow"/>
      <family val="2"/>
    </font>
    <font>
      <b/>
      <sz val="10"/>
      <color indexed="32"/>
      <name val="Arial"/>
      <family val="2"/>
    </font>
    <font>
      <b/>
      <i/>
      <sz val="10"/>
      <color indexed="47"/>
      <name val="Arial"/>
      <family val="2"/>
    </font>
    <font>
      <b/>
      <sz val="13"/>
      <name val="Arial"/>
      <family val="2"/>
    </font>
    <font>
      <b/>
      <sz val="10"/>
      <color indexed="9"/>
      <name val="Arial Narrow"/>
      <family val="0"/>
    </font>
    <font>
      <b/>
      <sz val="14"/>
      <color indexed="10"/>
      <name val="Arial"/>
      <family val="2"/>
    </font>
    <font>
      <i/>
      <sz val="10"/>
      <name val="Arial Narrow"/>
      <family val="2"/>
    </font>
    <font>
      <sz val="9"/>
      <color indexed="47"/>
      <name val="Arial Narrow"/>
      <family val="2"/>
    </font>
    <font>
      <i/>
      <sz val="9"/>
      <color indexed="8"/>
      <name val="Arial Narrow"/>
      <family val="2"/>
    </font>
    <font>
      <b/>
      <i/>
      <sz val="10"/>
      <color indexed="17"/>
      <name val="Arial"/>
      <family val="0"/>
    </font>
    <font>
      <b/>
      <sz val="15"/>
      <color indexed="18"/>
      <name val="EngrvrsOldEng Bd BT"/>
      <family val="4"/>
    </font>
    <font>
      <b/>
      <sz val="13"/>
      <color indexed="17"/>
      <name val="EngrvrsOldEng Bd BT"/>
      <family val="4"/>
    </font>
    <font>
      <sz val="11"/>
      <color indexed="13"/>
      <name val="EngrvrsOldEng Bd BT"/>
      <family val="4"/>
    </font>
    <font>
      <sz val="14"/>
      <color indexed="9"/>
      <name val="EngrvrsOldEng Bd BT"/>
      <family val="4"/>
    </font>
    <font>
      <b/>
      <sz val="10"/>
      <color indexed="18"/>
      <name val="Arial"/>
      <family val="2"/>
    </font>
    <font>
      <sz val="10"/>
      <color indexed="18"/>
      <name val="Arial"/>
      <family val="2"/>
    </font>
    <font>
      <sz val="16"/>
      <color indexed="9"/>
      <name val="EngrvrsOldEng Bd BT"/>
      <family val="4"/>
    </font>
    <font>
      <b/>
      <sz val="10"/>
      <color indexed="47"/>
      <name val="Arial Narrow"/>
      <family val="2"/>
    </font>
    <font>
      <sz val="8"/>
      <color indexed="47"/>
      <name val="Arial"/>
      <family val="2"/>
    </font>
    <font>
      <b/>
      <sz val="9"/>
      <color indexed="47"/>
      <name val="Arial Narrow"/>
      <family val="2"/>
    </font>
    <font>
      <b/>
      <i/>
      <sz val="10"/>
      <color indexed="18"/>
      <name val="Arial"/>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17"/>
      <name val="Arial"/>
      <family val="0"/>
    </font>
    <font>
      <b/>
      <sz val="12"/>
      <color indexed="12"/>
      <name val="Arial"/>
      <family val="0"/>
    </font>
    <font>
      <b/>
      <vertAlign val="superscript"/>
      <sz val="10"/>
      <color indexed="8"/>
      <name val="Arial"/>
      <family val="0"/>
    </font>
    <font>
      <b/>
      <i/>
      <sz val="10"/>
      <color indexed="8"/>
      <name val="Arial"/>
      <family val="0"/>
    </font>
    <font>
      <b/>
      <sz val="12"/>
      <color indexed="60"/>
      <name val="Arial"/>
      <family val="0"/>
    </font>
    <font>
      <b/>
      <sz val="12"/>
      <color indexed="10"/>
      <name val="Arial"/>
      <family val="0"/>
    </font>
    <font>
      <b/>
      <sz val="9"/>
      <color indexed="8"/>
      <name val="Arial"/>
      <family val="0"/>
    </font>
    <font>
      <b/>
      <i/>
      <sz val="9"/>
      <color indexed="12"/>
      <name val="Arial"/>
      <family val="0"/>
    </font>
    <font>
      <b/>
      <u val="single"/>
      <sz val="9"/>
      <color indexed="8"/>
      <name val="Arial"/>
      <family val="0"/>
    </font>
    <font>
      <sz val="9"/>
      <color indexed="8"/>
      <name val="Arial"/>
      <family val="0"/>
    </font>
    <font>
      <b/>
      <sz val="12"/>
      <color indexed="17"/>
      <name val="Arial"/>
      <family val="0"/>
    </font>
    <font>
      <b/>
      <sz val="12"/>
      <color indexed="25"/>
      <name val="Arial"/>
      <family val="0"/>
    </font>
    <font>
      <b/>
      <i/>
      <sz val="10"/>
      <color indexed="50"/>
      <name val="Arial"/>
      <family val="0"/>
    </font>
    <font>
      <b/>
      <i/>
      <u val="single"/>
      <sz val="10"/>
      <color indexed="8"/>
      <name val="Arial"/>
      <family val="0"/>
    </font>
    <font>
      <b/>
      <sz val="10"/>
      <color indexed="21"/>
      <name val="Arial"/>
      <family val="0"/>
    </font>
    <font>
      <b/>
      <sz val="10"/>
      <color indexed="50"/>
      <name val="Arial"/>
      <family val="0"/>
    </font>
    <font>
      <sz val="60"/>
      <color indexed="25"/>
      <name val="Arial Narrow"/>
      <family val="0"/>
    </font>
    <font>
      <sz val="50"/>
      <color indexed="25"/>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16"/>
        <bgColor indexed="64"/>
      </patternFill>
    </fill>
    <fill>
      <patternFill patternType="solid">
        <fgColor indexed="25"/>
        <bgColor indexed="64"/>
      </patternFill>
    </fill>
    <fill>
      <patternFill patternType="solid">
        <fgColor indexed="60"/>
        <bgColor indexed="64"/>
      </patternFill>
    </fill>
    <fill>
      <patternFill patternType="solid">
        <fgColor indexed="12"/>
        <bgColor indexed="64"/>
      </patternFill>
    </fill>
    <fill>
      <patternFill patternType="solid">
        <fgColor indexed="17"/>
        <bgColor indexed="64"/>
      </patternFill>
    </fill>
    <fill>
      <patternFill patternType="solid">
        <fgColor indexed="23"/>
        <bgColor indexed="64"/>
      </patternFill>
    </fill>
    <fill>
      <patternFill patternType="solid">
        <fgColor indexed="10"/>
        <bgColor indexed="64"/>
      </patternFill>
    </fill>
    <fill>
      <patternFill patternType="solid">
        <fgColor indexed="61"/>
        <bgColor indexed="64"/>
      </patternFill>
    </fill>
    <fill>
      <patternFill patternType="solid">
        <fgColor indexed="18"/>
        <bgColor indexed="64"/>
      </patternFill>
    </fill>
  </fills>
  <borders count="2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style="thin"/>
      <top style="thin"/>
      <bottom style="thick">
        <color indexed="10"/>
      </bottom>
    </border>
    <border>
      <left style="thick">
        <color indexed="17"/>
      </left>
      <right style="thin"/>
      <top style="thick">
        <color indexed="17"/>
      </top>
      <bottom>
        <color indexed="63"/>
      </bottom>
    </border>
    <border>
      <left style="thick">
        <color indexed="17"/>
      </left>
      <right style="thin"/>
      <top>
        <color indexed="63"/>
      </top>
      <bottom>
        <color indexed="63"/>
      </bottom>
    </border>
    <border>
      <left style="thick">
        <color indexed="17"/>
      </left>
      <right style="thin"/>
      <top>
        <color indexed="63"/>
      </top>
      <bottom style="thick">
        <color indexed="17"/>
      </bottom>
    </border>
    <border>
      <left style="thick">
        <color indexed="25"/>
      </left>
      <right>
        <color indexed="63"/>
      </right>
      <top style="thick">
        <color indexed="25"/>
      </top>
      <bottom>
        <color indexed="63"/>
      </bottom>
    </border>
    <border>
      <left style="thick">
        <color indexed="25"/>
      </left>
      <right>
        <color indexed="63"/>
      </right>
      <top>
        <color indexed="63"/>
      </top>
      <bottom>
        <color indexed="63"/>
      </bottom>
    </border>
    <border>
      <left style="thick">
        <color indexed="25"/>
      </left>
      <right>
        <color indexed="63"/>
      </right>
      <top>
        <color indexed="63"/>
      </top>
      <bottom style="thick">
        <color indexed="25"/>
      </bottom>
    </border>
    <border>
      <left style="thick">
        <color indexed="19"/>
      </left>
      <right style="thin"/>
      <top style="thick">
        <color indexed="19"/>
      </top>
      <bottom>
        <color indexed="63"/>
      </bottom>
    </border>
    <border>
      <left style="thick">
        <color indexed="19"/>
      </left>
      <right style="thin"/>
      <top>
        <color indexed="63"/>
      </top>
      <bottom>
        <color indexed="63"/>
      </bottom>
    </border>
    <border>
      <left style="thick">
        <color indexed="19"/>
      </left>
      <right style="thin"/>
      <top>
        <color indexed="63"/>
      </top>
      <bottom style="thick">
        <color indexed="19"/>
      </bottom>
    </border>
    <border>
      <left style="thick">
        <color indexed="60"/>
      </left>
      <right style="thin"/>
      <top style="thick">
        <color indexed="60"/>
      </top>
      <bottom>
        <color indexed="63"/>
      </bottom>
    </border>
    <border>
      <left style="thick">
        <color indexed="60"/>
      </left>
      <right style="thin"/>
      <top>
        <color indexed="63"/>
      </top>
      <bottom>
        <color indexed="63"/>
      </bottom>
    </border>
    <border>
      <left style="thick">
        <color indexed="60"/>
      </left>
      <right style="thin"/>
      <top>
        <color indexed="63"/>
      </top>
      <bottom style="thick">
        <color indexed="60"/>
      </bottom>
    </border>
    <border>
      <left style="thick">
        <color indexed="29"/>
      </left>
      <right style="thin"/>
      <top style="thick">
        <color indexed="29"/>
      </top>
      <bottom>
        <color indexed="63"/>
      </bottom>
    </border>
    <border>
      <left style="thick">
        <color indexed="29"/>
      </left>
      <right style="thin"/>
      <top>
        <color indexed="63"/>
      </top>
      <bottom>
        <color indexed="63"/>
      </bottom>
    </border>
    <border>
      <left style="thick">
        <color indexed="29"/>
      </left>
      <right style="thin"/>
      <top>
        <color indexed="63"/>
      </top>
      <bottom style="thick">
        <color indexed="29"/>
      </bottom>
    </border>
    <border>
      <left>
        <color indexed="63"/>
      </left>
      <right>
        <color indexed="63"/>
      </right>
      <top>
        <color indexed="63"/>
      </top>
      <bottom style="thick">
        <color indexed="60"/>
      </bottom>
    </border>
    <border>
      <left style="medium">
        <color indexed="20"/>
      </left>
      <right style="thin">
        <color indexed="55"/>
      </right>
      <top style="medium">
        <color indexed="20"/>
      </top>
      <bottom style="thin">
        <color indexed="55"/>
      </bottom>
    </border>
    <border>
      <left style="thin">
        <color indexed="55"/>
      </left>
      <right style="thin">
        <color indexed="55"/>
      </right>
      <top style="medium">
        <color indexed="20"/>
      </top>
      <bottom style="thin">
        <color indexed="55"/>
      </bottom>
    </border>
    <border>
      <left style="thin">
        <color indexed="55"/>
      </left>
      <right style="medium">
        <color indexed="20"/>
      </right>
      <top style="medium">
        <color indexed="20"/>
      </top>
      <bottom style="thin">
        <color indexed="55"/>
      </bottom>
    </border>
    <border>
      <left style="medium">
        <color indexed="20"/>
      </left>
      <right style="thin">
        <color indexed="55"/>
      </right>
      <top style="thin">
        <color indexed="55"/>
      </top>
      <bottom style="medium">
        <color indexed="20"/>
      </bottom>
    </border>
    <border>
      <left style="thin">
        <color indexed="55"/>
      </left>
      <right style="thin">
        <color indexed="55"/>
      </right>
      <top style="thin">
        <color indexed="55"/>
      </top>
      <bottom style="medium">
        <color indexed="20"/>
      </bottom>
    </border>
    <border>
      <left style="thin">
        <color indexed="55"/>
      </left>
      <right style="medium">
        <color indexed="20"/>
      </right>
      <top style="thin">
        <color indexed="55"/>
      </top>
      <bottom style="medium">
        <color indexed="20"/>
      </bottom>
    </border>
    <border>
      <left>
        <color indexed="63"/>
      </left>
      <right style="thick">
        <color indexed="60"/>
      </right>
      <top>
        <color indexed="63"/>
      </top>
      <bottom>
        <color indexed="63"/>
      </bottom>
    </border>
    <border>
      <left>
        <color indexed="63"/>
      </left>
      <right>
        <color indexed="63"/>
      </right>
      <top style="thick">
        <color indexed="60"/>
      </top>
      <bottom>
        <color indexed="63"/>
      </bottom>
    </border>
    <border>
      <left>
        <color indexed="63"/>
      </left>
      <right style="thick">
        <color indexed="16"/>
      </right>
      <top>
        <color indexed="63"/>
      </top>
      <bottom>
        <color indexed="63"/>
      </bottom>
    </border>
    <border>
      <left>
        <color indexed="63"/>
      </left>
      <right>
        <color indexed="63"/>
      </right>
      <top style="thick">
        <color indexed="16"/>
      </top>
      <bottom>
        <color indexed="63"/>
      </bottom>
    </border>
    <border>
      <left>
        <color indexed="63"/>
      </left>
      <right style="thick">
        <color indexed="16"/>
      </right>
      <top style="thick">
        <color indexed="16"/>
      </top>
      <bottom>
        <color indexed="63"/>
      </bottom>
    </border>
    <border>
      <left>
        <color indexed="63"/>
      </left>
      <right>
        <color indexed="63"/>
      </right>
      <top>
        <color indexed="63"/>
      </top>
      <bottom style="thick">
        <color indexed="16"/>
      </bottom>
    </border>
    <border>
      <left>
        <color indexed="63"/>
      </left>
      <right style="thick">
        <color indexed="16"/>
      </right>
      <top>
        <color indexed="63"/>
      </top>
      <bottom style="thick">
        <color indexed="16"/>
      </bottom>
    </border>
    <border>
      <left style="thick">
        <color indexed="16"/>
      </left>
      <right>
        <color indexed="63"/>
      </right>
      <top style="thick">
        <color indexed="16"/>
      </top>
      <bottom>
        <color indexed="63"/>
      </bottom>
    </border>
    <border>
      <left style="thick">
        <color indexed="16"/>
      </left>
      <right>
        <color indexed="63"/>
      </right>
      <top>
        <color indexed="63"/>
      </top>
      <bottom style="thick">
        <color indexed="60"/>
      </bottom>
    </border>
    <border>
      <left>
        <color indexed="63"/>
      </left>
      <right style="thick">
        <color indexed="16"/>
      </right>
      <top>
        <color indexed="63"/>
      </top>
      <bottom style="thick">
        <color indexed="60"/>
      </bottom>
    </border>
    <border>
      <left style="thick">
        <color indexed="16"/>
      </left>
      <right>
        <color indexed="63"/>
      </right>
      <top style="thick">
        <color indexed="60"/>
      </top>
      <bottom>
        <color indexed="63"/>
      </bottom>
    </border>
    <border>
      <left>
        <color indexed="63"/>
      </left>
      <right style="thick">
        <color indexed="16"/>
      </right>
      <top style="thick">
        <color indexed="60"/>
      </top>
      <bottom>
        <color indexed="63"/>
      </bottom>
    </border>
    <border>
      <left style="thick">
        <color indexed="16"/>
      </left>
      <right>
        <color indexed="63"/>
      </right>
      <top>
        <color indexed="63"/>
      </top>
      <bottom>
        <color indexed="63"/>
      </bottom>
    </border>
    <border>
      <left style="thick">
        <color indexed="16"/>
      </left>
      <right>
        <color indexed="63"/>
      </right>
      <top>
        <color indexed="63"/>
      </top>
      <bottom style="thick">
        <color indexed="16"/>
      </bottom>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20"/>
      </left>
      <right>
        <color indexed="63"/>
      </right>
      <top style="thick">
        <color indexed="20"/>
      </top>
      <bottom>
        <color indexed="63"/>
      </bottom>
    </border>
    <border>
      <left>
        <color indexed="63"/>
      </left>
      <right>
        <color indexed="63"/>
      </right>
      <top style="thick">
        <color indexed="20"/>
      </top>
      <bottom>
        <color indexed="63"/>
      </bottom>
    </border>
    <border>
      <left>
        <color indexed="63"/>
      </left>
      <right style="thick">
        <color indexed="20"/>
      </right>
      <top style="thick">
        <color indexed="20"/>
      </top>
      <bottom>
        <color indexed="63"/>
      </bottom>
    </border>
    <border>
      <left style="thick">
        <color indexed="20"/>
      </left>
      <right>
        <color indexed="63"/>
      </right>
      <top>
        <color indexed="63"/>
      </top>
      <bottom>
        <color indexed="63"/>
      </bottom>
    </border>
    <border>
      <left>
        <color indexed="63"/>
      </left>
      <right style="thick">
        <color indexed="20"/>
      </right>
      <top>
        <color indexed="63"/>
      </top>
      <bottom>
        <color indexed="63"/>
      </bottom>
    </border>
    <border>
      <left style="thick">
        <color indexed="20"/>
      </left>
      <right>
        <color indexed="63"/>
      </right>
      <top>
        <color indexed="63"/>
      </top>
      <bottom style="thick">
        <color indexed="20"/>
      </bottom>
    </border>
    <border>
      <left>
        <color indexed="63"/>
      </left>
      <right>
        <color indexed="63"/>
      </right>
      <top>
        <color indexed="63"/>
      </top>
      <bottom style="thick">
        <color indexed="20"/>
      </bottom>
    </border>
    <border>
      <left>
        <color indexed="63"/>
      </left>
      <right style="thick">
        <color indexed="20"/>
      </right>
      <top>
        <color indexed="63"/>
      </top>
      <bottom style="thick">
        <color indexed="20"/>
      </bottom>
    </border>
    <border>
      <left style="thick">
        <color indexed="16"/>
      </left>
      <right style="thin">
        <color indexed="22"/>
      </right>
      <top style="thick">
        <color indexed="16"/>
      </top>
      <bottom style="thin">
        <color indexed="22"/>
      </bottom>
    </border>
    <border>
      <left style="thin">
        <color indexed="22"/>
      </left>
      <right style="thin">
        <color indexed="22"/>
      </right>
      <top style="thick">
        <color indexed="16"/>
      </top>
      <bottom style="thin">
        <color indexed="22"/>
      </bottom>
    </border>
    <border>
      <left style="thin">
        <color indexed="22"/>
      </left>
      <right style="thick">
        <color indexed="16"/>
      </right>
      <top style="thick">
        <color indexed="16"/>
      </top>
      <bottom style="thin">
        <color indexed="22"/>
      </bottom>
    </border>
    <border>
      <left style="thick">
        <color indexed="16"/>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ck">
        <color indexed="16"/>
      </right>
      <top style="thin">
        <color indexed="22"/>
      </top>
      <bottom style="thin">
        <color indexed="22"/>
      </bottom>
    </border>
    <border>
      <left style="thick">
        <color indexed="16"/>
      </left>
      <right style="thin">
        <color indexed="22"/>
      </right>
      <top style="thin">
        <color indexed="22"/>
      </top>
      <bottom style="thick">
        <color indexed="16"/>
      </bottom>
    </border>
    <border>
      <left style="thin">
        <color indexed="22"/>
      </left>
      <right style="thin">
        <color indexed="22"/>
      </right>
      <top style="thin">
        <color indexed="22"/>
      </top>
      <bottom style="thick">
        <color indexed="16"/>
      </bottom>
    </border>
    <border>
      <left style="thin">
        <color indexed="22"/>
      </left>
      <right style="thick">
        <color indexed="16"/>
      </right>
      <top style="thin">
        <color indexed="22"/>
      </top>
      <bottom style="thick">
        <color indexed="16"/>
      </bottom>
    </border>
    <border>
      <left style="thick">
        <color indexed="30"/>
      </left>
      <right style="thin">
        <color indexed="22"/>
      </right>
      <top style="thick">
        <color indexed="30"/>
      </top>
      <bottom style="thin">
        <color indexed="22"/>
      </bottom>
    </border>
    <border>
      <left>
        <color indexed="63"/>
      </left>
      <right>
        <color indexed="63"/>
      </right>
      <top style="thick">
        <color indexed="30"/>
      </top>
      <bottom>
        <color indexed="63"/>
      </bottom>
    </border>
    <border>
      <left>
        <color indexed="63"/>
      </left>
      <right style="thick">
        <color indexed="30"/>
      </right>
      <top style="thick">
        <color indexed="30"/>
      </top>
      <bottom>
        <color indexed="63"/>
      </bottom>
    </border>
    <border>
      <left style="thick">
        <color indexed="30"/>
      </left>
      <right>
        <color indexed="63"/>
      </right>
      <top>
        <color indexed="63"/>
      </top>
      <bottom>
        <color indexed="63"/>
      </bottom>
    </border>
    <border>
      <left>
        <color indexed="63"/>
      </left>
      <right style="thick">
        <color indexed="30"/>
      </right>
      <top>
        <color indexed="63"/>
      </top>
      <bottom>
        <color indexed="63"/>
      </bottom>
    </border>
    <border>
      <left style="thick">
        <color indexed="30"/>
      </left>
      <right>
        <color indexed="63"/>
      </right>
      <top>
        <color indexed="63"/>
      </top>
      <bottom style="thick">
        <color indexed="30"/>
      </bottom>
    </border>
    <border>
      <left>
        <color indexed="63"/>
      </left>
      <right>
        <color indexed="63"/>
      </right>
      <top>
        <color indexed="63"/>
      </top>
      <bottom style="thick">
        <color indexed="30"/>
      </bottom>
    </border>
    <border>
      <left>
        <color indexed="63"/>
      </left>
      <right style="thick">
        <color indexed="30"/>
      </right>
      <top>
        <color indexed="63"/>
      </top>
      <bottom style="thick">
        <color indexed="30"/>
      </bottom>
    </border>
    <border>
      <left>
        <color indexed="63"/>
      </left>
      <right style="thin">
        <color indexed="22"/>
      </right>
      <top style="thin">
        <color indexed="22"/>
      </top>
      <bottom style="thin">
        <color indexed="22"/>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thick">
        <color indexed="13"/>
      </left>
      <right>
        <color indexed="63"/>
      </right>
      <top style="thick">
        <color indexed="13"/>
      </top>
      <bottom>
        <color indexed="63"/>
      </bottom>
    </border>
    <border>
      <left>
        <color indexed="63"/>
      </left>
      <right>
        <color indexed="63"/>
      </right>
      <top style="thick">
        <color indexed="13"/>
      </top>
      <bottom>
        <color indexed="63"/>
      </bottom>
    </border>
    <border>
      <left>
        <color indexed="63"/>
      </left>
      <right style="thick">
        <color indexed="13"/>
      </right>
      <top style="thick">
        <color indexed="13"/>
      </top>
      <bottom>
        <color indexed="63"/>
      </bottom>
    </border>
    <border>
      <left style="thick">
        <color indexed="13"/>
      </left>
      <right>
        <color indexed="63"/>
      </right>
      <top>
        <color indexed="63"/>
      </top>
      <bottom>
        <color indexed="63"/>
      </bottom>
    </border>
    <border>
      <left>
        <color indexed="63"/>
      </left>
      <right style="thick">
        <color indexed="13"/>
      </right>
      <top>
        <color indexed="63"/>
      </top>
      <bottom>
        <color indexed="63"/>
      </bottom>
    </border>
    <border>
      <left style="thick">
        <color indexed="13"/>
      </left>
      <right>
        <color indexed="63"/>
      </right>
      <top>
        <color indexed="63"/>
      </top>
      <bottom style="thick">
        <color indexed="13"/>
      </bottom>
    </border>
    <border>
      <left>
        <color indexed="63"/>
      </left>
      <right>
        <color indexed="63"/>
      </right>
      <top>
        <color indexed="63"/>
      </top>
      <bottom style="thick">
        <color indexed="13"/>
      </bottom>
    </border>
    <border>
      <left>
        <color indexed="63"/>
      </left>
      <right style="thick">
        <color indexed="13"/>
      </right>
      <top>
        <color indexed="63"/>
      </top>
      <bottom style="thick">
        <color indexed="13"/>
      </bottom>
    </border>
    <border>
      <left style="thick">
        <color indexed="13"/>
      </left>
      <right>
        <color indexed="63"/>
      </right>
      <top style="thick">
        <color indexed="13"/>
      </top>
      <bottom style="thick">
        <color indexed="13"/>
      </bottom>
    </border>
    <border>
      <left>
        <color indexed="63"/>
      </left>
      <right>
        <color indexed="63"/>
      </right>
      <top style="thick">
        <color indexed="13"/>
      </top>
      <bottom style="thick">
        <color indexed="13"/>
      </bottom>
    </border>
    <border>
      <left>
        <color indexed="63"/>
      </left>
      <right style="thick">
        <color indexed="13"/>
      </right>
      <top style="thick">
        <color indexed="13"/>
      </top>
      <bottom style="thick">
        <color indexed="13"/>
      </bottom>
    </border>
    <border>
      <left style="double"/>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double"/>
      <bottom style="double"/>
    </border>
    <border>
      <left style="double"/>
      <right style="double"/>
      <top style="double"/>
      <bottom style="double"/>
    </border>
    <border>
      <left style="double"/>
      <right style="double"/>
      <top>
        <color indexed="63"/>
      </top>
      <bottom>
        <color indexed="63"/>
      </bottom>
    </border>
    <border>
      <left style="double"/>
      <right style="double"/>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double"/>
      <right style="double"/>
      <top>
        <color indexed="63"/>
      </top>
      <bottom style="thin"/>
    </border>
    <border>
      <left style="double"/>
      <right>
        <color indexed="63"/>
      </right>
      <top style="double"/>
      <bottom style="double"/>
    </border>
    <border>
      <left>
        <color indexed="63"/>
      </left>
      <right style="thin"/>
      <top style="double"/>
      <bottom style="double"/>
    </border>
    <border>
      <left style="double"/>
      <right style="double"/>
      <top>
        <color indexed="63"/>
      </top>
      <bottom style="double"/>
    </border>
    <border>
      <left style="thin"/>
      <right style="thin"/>
      <top style="thin"/>
      <bottom style="thick">
        <color indexed="10"/>
      </bottom>
    </border>
    <border>
      <left style="thin"/>
      <right style="thick">
        <color indexed="10"/>
      </right>
      <top style="thin"/>
      <bottom style="thick">
        <color indexed="10"/>
      </bottom>
    </border>
    <border>
      <left style="thin"/>
      <right style="thin"/>
      <top style="thick">
        <color indexed="17"/>
      </top>
      <bottom style="thin"/>
    </border>
    <border>
      <left style="thin"/>
      <right style="thick">
        <color indexed="17"/>
      </right>
      <top style="thick">
        <color indexed="17"/>
      </top>
      <bottom style="thin"/>
    </border>
    <border>
      <left style="thin"/>
      <right style="thick">
        <color indexed="17"/>
      </right>
      <top style="thin"/>
      <bottom style="thin"/>
    </border>
    <border>
      <left style="thin"/>
      <right style="thin"/>
      <top style="thin"/>
      <bottom style="thick">
        <color indexed="17"/>
      </bottom>
    </border>
    <border>
      <left style="thin"/>
      <right style="thick">
        <color indexed="17"/>
      </right>
      <top style="thin"/>
      <bottom style="thick">
        <color indexed="17"/>
      </bottom>
    </border>
    <border>
      <left style="thin"/>
      <right style="thin"/>
      <top style="thick">
        <color indexed="25"/>
      </top>
      <bottom style="thin"/>
    </border>
    <border>
      <left style="thin"/>
      <right style="thick">
        <color indexed="25"/>
      </right>
      <top style="thick">
        <color indexed="25"/>
      </top>
      <bottom style="thin"/>
    </border>
    <border>
      <left style="thin"/>
      <right style="thick">
        <color indexed="25"/>
      </right>
      <top style="thin"/>
      <bottom style="thin"/>
    </border>
    <border>
      <left style="thin"/>
      <right style="thin"/>
      <top style="thin"/>
      <bottom style="thick">
        <color indexed="25"/>
      </bottom>
    </border>
    <border>
      <left style="thin"/>
      <right style="thick">
        <color indexed="25"/>
      </right>
      <top style="thin"/>
      <bottom style="thick">
        <color indexed="25"/>
      </bottom>
    </border>
    <border>
      <left style="thin"/>
      <right style="thin"/>
      <top style="thick">
        <color indexed="29"/>
      </top>
      <bottom style="thin"/>
    </border>
    <border>
      <left style="thin"/>
      <right style="thick">
        <color indexed="29"/>
      </right>
      <top style="thick">
        <color indexed="29"/>
      </top>
      <bottom style="thin"/>
    </border>
    <border>
      <left style="thin"/>
      <right style="thick">
        <color indexed="29"/>
      </right>
      <top style="thin"/>
      <bottom style="thin"/>
    </border>
    <border>
      <left style="thin"/>
      <right style="thin"/>
      <top style="thin"/>
      <bottom style="thick">
        <color indexed="29"/>
      </bottom>
    </border>
    <border>
      <left style="thin"/>
      <right style="thick">
        <color indexed="29"/>
      </right>
      <top style="thin"/>
      <bottom style="thick">
        <color indexed="29"/>
      </bottom>
    </border>
    <border>
      <left style="thin"/>
      <right style="thin"/>
      <top style="thick">
        <color indexed="60"/>
      </top>
      <bottom style="thin"/>
    </border>
    <border>
      <left style="thin"/>
      <right style="thick">
        <color indexed="60"/>
      </right>
      <top style="thick">
        <color indexed="60"/>
      </top>
      <bottom style="thin"/>
    </border>
    <border>
      <left style="thin"/>
      <right style="thick">
        <color indexed="60"/>
      </right>
      <top style="thin"/>
      <bottom style="thin"/>
    </border>
    <border>
      <left style="thin"/>
      <right style="thin"/>
      <top style="thin"/>
      <bottom style="thick">
        <color indexed="60"/>
      </bottom>
    </border>
    <border>
      <left style="thin"/>
      <right style="thick">
        <color indexed="60"/>
      </right>
      <top style="thin"/>
      <bottom style="thick">
        <color indexed="60"/>
      </bottom>
    </border>
    <border>
      <left style="thin"/>
      <right style="thin"/>
      <top style="thick">
        <color indexed="19"/>
      </top>
      <bottom style="thin"/>
    </border>
    <border>
      <left style="thin"/>
      <right style="thick">
        <color indexed="19"/>
      </right>
      <top style="thick">
        <color indexed="19"/>
      </top>
      <bottom style="thin"/>
    </border>
    <border>
      <left style="thin"/>
      <right style="thick">
        <color indexed="19"/>
      </right>
      <top style="thin"/>
      <bottom style="thin"/>
    </border>
    <border>
      <left style="thin"/>
      <right style="thin"/>
      <top style="thin"/>
      <bottom style="thick">
        <color indexed="19"/>
      </bottom>
    </border>
    <border>
      <left style="thin"/>
      <right style="thick">
        <color indexed="19"/>
      </right>
      <top style="thin"/>
      <bottom style="thick">
        <color indexed="19"/>
      </bottom>
    </border>
    <border>
      <left style="thin"/>
      <right style="thick">
        <color indexed="16"/>
      </right>
      <top style="thin"/>
      <bottom style="thin"/>
    </border>
    <border>
      <left style="double"/>
      <right style="dotted"/>
      <top style="thin"/>
      <bottom style="thin"/>
    </border>
    <border>
      <left style="double"/>
      <right style="double"/>
      <top style="thin"/>
      <bottom style="thin"/>
    </border>
    <border>
      <left>
        <color indexed="63"/>
      </left>
      <right style="double"/>
      <top style="thin"/>
      <bottom style="thin"/>
    </border>
    <border>
      <left style="thin">
        <color indexed="8"/>
      </left>
      <right style="thin">
        <color indexed="8"/>
      </right>
      <top style="thin">
        <color indexed="8"/>
      </top>
      <bottom style="thin">
        <color indexed="8"/>
      </bottom>
    </border>
    <border>
      <left style="double"/>
      <right style="double"/>
      <top style="thin"/>
      <bottom style="double"/>
    </border>
    <border>
      <left style="double"/>
      <right>
        <color indexed="63"/>
      </right>
      <top style="thin"/>
      <bottom style="thin"/>
    </border>
    <border>
      <left style="double"/>
      <right style="double"/>
      <top style="thin"/>
      <bottom>
        <color indexed="63"/>
      </bottom>
    </border>
    <border>
      <left style="double"/>
      <right>
        <color indexed="63"/>
      </right>
      <top style="thin"/>
      <bottom style="double"/>
    </border>
    <border>
      <left>
        <color indexed="63"/>
      </left>
      <right style="double"/>
      <top style="thin"/>
      <bottom style="double"/>
    </border>
    <border>
      <left style="thin"/>
      <right style="thick">
        <color indexed="25"/>
      </right>
      <top style="thin"/>
      <bottom style="thick">
        <color indexed="16"/>
      </botto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style="thin"/>
    </border>
    <border>
      <left style="thin"/>
      <right>
        <color indexed="63"/>
      </right>
      <top>
        <color indexed="63"/>
      </top>
      <bottom style="thin"/>
    </border>
    <border>
      <left>
        <color indexed="63"/>
      </left>
      <right style="thick">
        <color indexed="23"/>
      </right>
      <top>
        <color indexed="63"/>
      </top>
      <bottom style="thin"/>
    </border>
    <border>
      <left style="thick">
        <color indexed="2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ck">
        <color indexed="23"/>
      </right>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ck">
        <color indexed="23"/>
      </right>
      <top>
        <color indexed="63"/>
      </top>
      <bottom style="dotted"/>
    </border>
    <border>
      <left style="thick">
        <color indexed="23"/>
      </left>
      <right style="thin"/>
      <top style="thin"/>
      <bottom style="thick">
        <color indexed="23"/>
      </bottom>
    </border>
    <border>
      <left style="thin"/>
      <right style="thin"/>
      <top style="thin"/>
      <bottom style="thick">
        <color indexed="23"/>
      </bottom>
    </border>
    <border>
      <left style="thin"/>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ck">
        <color indexed="12"/>
      </right>
      <top style="thin"/>
      <bottom style="thin"/>
    </border>
    <border>
      <left style="thin"/>
      <right style="thick">
        <color indexed="12"/>
      </right>
      <top style="thin"/>
      <bottom style="thick">
        <color indexed="12"/>
      </bottom>
    </border>
    <border>
      <left style="thin"/>
      <right style="thick">
        <color indexed="16"/>
      </right>
      <top style="thin"/>
      <bottom style="thick">
        <color indexed="16"/>
      </bottom>
    </border>
    <border>
      <left style="thin"/>
      <right style="thick">
        <color indexed="10"/>
      </right>
      <top style="thin"/>
      <bottom style="thin"/>
    </border>
    <border>
      <left>
        <color indexed="63"/>
      </left>
      <right style="thin"/>
      <top style="thick">
        <color indexed="17"/>
      </top>
      <bottom>
        <color indexed="63"/>
      </bottom>
    </border>
    <border>
      <left>
        <color indexed="63"/>
      </left>
      <right style="thin"/>
      <top>
        <color indexed="63"/>
      </top>
      <bottom>
        <color indexed="63"/>
      </bottom>
    </border>
    <border>
      <left>
        <color indexed="63"/>
      </left>
      <right style="thin"/>
      <top>
        <color indexed="63"/>
      </top>
      <bottom style="thick">
        <color indexed="17"/>
      </bottom>
    </border>
    <border>
      <left>
        <color indexed="63"/>
      </left>
      <right style="thin"/>
      <top style="thick">
        <color indexed="25"/>
      </top>
      <bottom>
        <color indexed="63"/>
      </bottom>
    </border>
    <border>
      <left>
        <color indexed="63"/>
      </left>
      <right style="thin"/>
      <top>
        <color indexed="63"/>
      </top>
      <bottom style="thick">
        <color indexed="25"/>
      </bottom>
    </border>
    <border>
      <left style="thick">
        <color indexed="16"/>
      </left>
      <right>
        <color indexed="63"/>
      </right>
      <top style="thin">
        <color indexed="8"/>
      </top>
      <bottom style="thick">
        <color indexed="16"/>
      </bottom>
    </border>
    <border>
      <left>
        <color indexed="63"/>
      </left>
      <right>
        <color indexed="63"/>
      </right>
      <top style="thin">
        <color indexed="8"/>
      </top>
      <bottom style="thick">
        <color indexed="16"/>
      </bottom>
    </border>
    <border>
      <left style="thick">
        <color indexed="61"/>
      </left>
      <right>
        <color indexed="63"/>
      </right>
      <top>
        <color indexed="63"/>
      </top>
      <bottom>
        <color indexed="63"/>
      </bottom>
    </border>
    <border>
      <left style="thin"/>
      <right style="thick">
        <color indexed="61"/>
      </right>
      <top style="thin"/>
      <bottom style="thin"/>
    </border>
    <border>
      <left style="thick">
        <color indexed="61"/>
      </left>
      <right>
        <color indexed="63"/>
      </right>
      <top>
        <color indexed="63"/>
      </top>
      <bottom style="thick">
        <color indexed="61"/>
      </bottom>
    </border>
    <border>
      <left>
        <color indexed="63"/>
      </left>
      <right>
        <color indexed="63"/>
      </right>
      <top>
        <color indexed="63"/>
      </top>
      <bottom style="thick">
        <color indexed="61"/>
      </bottom>
    </border>
    <border>
      <left style="thin"/>
      <right style="thick">
        <color indexed="61"/>
      </right>
      <top style="thin"/>
      <bottom style="thick">
        <color indexed="61"/>
      </bottom>
    </border>
    <border>
      <left>
        <color indexed="63"/>
      </left>
      <right>
        <color indexed="63"/>
      </right>
      <top style="thick">
        <color indexed="61"/>
      </top>
      <bottom>
        <color indexed="63"/>
      </bottom>
    </border>
    <border>
      <left>
        <color indexed="63"/>
      </left>
      <right style="thick">
        <color indexed="61"/>
      </right>
      <top style="thick">
        <color indexed="61"/>
      </top>
      <bottom>
        <color indexed="63"/>
      </bottom>
    </border>
    <border>
      <left style="thick">
        <color indexed="61"/>
      </left>
      <right>
        <color indexed="63"/>
      </right>
      <top style="thick">
        <color indexed="61"/>
      </top>
      <bottom>
        <color indexed="63"/>
      </bottom>
    </border>
    <border>
      <left style="thick">
        <color indexed="23"/>
      </left>
      <right>
        <color indexed="63"/>
      </right>
      <top>
        <color indexed="63"/>
      </top>
      <bottom>
        <color indexed="63"/>
      </bottom>
    </border>
    <border>
      <left style="thin"/>
      <right style="thick">
        <color indexed="23"/>
      </right>
      <top style="thin"/>
      <bottom style="thin"/>
    </border>
    <border>
      <left style="thick">
        <color indexed="23"/>
      </left>
      <right>
        <color indexed="63"/>
      </right>
      <top>
        <color indexed="63"/>
      </top>
      <bottom style="thick">
        <color indexed="23"/>
      </bottom>
    </border>
    <border>
      <left style="thin"/>
      <right style="thick">
        <color indexed="23"/>
      </right>
      <top style="thin"/>
      <bottom style="thick">
        <color indexed="23"/>
      </bottom>
    </border>
    <border>
      <left>
        <color indexed="63"/>
      </left>
      <right style="thick">
        <color indexed="16"/>
      </right>
      <top style="thin"/>
      <bottom style="thin"/>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style="thick">
        <color indexed="60"/>
      </left>
      <right>
        <color indexed="63"/>
      </right>
      <top style="thick">
        <color indexed="60"/>
      </top>
      <bottom>
        <color indexed="63"/>
      </bottom>
    </border>
    <border>
      <left style="thick">
        <color indexed="60"/>
      </left>
      <right>
        <color indexed="63"/>
      </right>
      <top>
        <color indexed="63"/>
      </top>
      <bottom style="thick">
        <color indexed="60"/>
      </bottom>
    </border>
    <border>
      <left>
        <color indexed="63"/>
      </left>
      <right style="thick">
        <color indexed="60"/>
      </right>
      <top style="thick">
        <color indexed="60"/>
      </top>
      <bottom>
        <color indexed="63"/>
      </bottom>
    </border>
    <border>
      <left>
        <color indexed="63"/>
      </left>
      <right style="thick">
        <color indexed="60"/>
      </right>
      <top>
        <color indexed="63"/>
      </top>
      <bottom style="thick">
        <color indexed="60"/>
      </bottom>
    </border>
    <border>
      <left>
        <color indexed="63"/>
      </left>
      <right>
        <color indexed="63"/>
      </right>
      <top style="thick">
        <color indexed="25"/>
      </top>
      <bottom>
        <color indexed="63"/>
      </bottom>
    </border>
    <border>
      <left>
        <color indexed="63"/>
      </left>
      <right style="thick">
        <color indexed="25"/>
      </right>
      <top style="thick">
        <color indexed="25"/>
      </top>
      <bottom>
        <color indexed="63"/>
      </bottom>
    </border>
    <border>
      <left>
        <color indexed="63"/>
      </left>
      <right>
        <color indexed="63"/>
      </right>
      <top>
        <color indexed="63"/>
      </top>
      <bottom style="thick">
        <color indexed="25"/>
      </bottom>
    </border>
    <border>
      <left>
        <color indexed="63"/>
      </left>
      <right style="thick">
        <color indexed="25"/>
      </right>
      <top>
        <color indexed="63"/>
      </top>
      <bottom style="thick">
        <color indexed="25"/>
      </bottom>
    </border>
    <border>
      <left>
        <color indexed="63"/>
      </left>
      <right style="thick">
        <color indexed="25"/>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60"/>
      </left>
      <right>
        <color indexed="63"/>
      </right>
      <top>
        <color indexed="63"/>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7"/>
      </left>
      <right>
        <color indexed="63"/>
      </right>
      <top style="medium">
        <color indexed="17"/>
      </top>
      <bottom style="thick">
        <color indexed="17"/>
      </bottom>
    </border>
    <border>
      <left>
        <color indexed="63"/>
      </left>
      <right>
        <color indexed="63"/>
      </right>
      <top style="medium">
        <color indexed="17"/>
      </top>
      <bottom style="thick">
        <color indexed="17"/>
      </bottom>
    </border>
    <border>
      <left>
        <color indexed="63"/>
      </left>
      <right style="thick">
        <color indexed="17"/>
      </right>
      <top style="medium">
        <color indexed="17"/>
      </top>
      <bottom style="thick">
        <color indexed="17"/>
      </bottom>
    </border>
    <border>
      <left>
        <color indexed="63"/>
      </left>
      <right style="thick">
        <color indexed="16"/>
      </right>
      <top style="thin">
        <color indexed="16"/>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3" fillId="2" borderId="0" applyNumberFormat="0" applyBorder="0" applyAlignment="0" applyProtection="0"/>
    <xf numFmtId="0" fontId="163" fillId="3" borderId="0" applyNumberFormat="0" applyBorder="0" applyAlignment="0" applyProtection="0"/>
    <xf numFmtId="0" fontId="163" fillId="4" borderId="0" applyNumberFormat="0" applyBorder="0" applyAlignment="0" applyProtection="0"/>
    <xf numFmtId="0" fontId="163" fillId="5" borderId="0" applyNumberFormat="0" applyBorder="0" applyAlignment="0" applyProtection="0"/>
    <xf numFmtId="0" fontId="163" fillId="6" borderId="0" applyNumberFormat="0" applyBorder="0" applyAlignment="0" applyProtection="0"/>
    <xf numFmtId="0" fontId="163" fillId="7" borderId="0" applyNumberFormat="0" applyBorder="0" applyAlignment="0" applyProtection="0"/>
    <xf numFmtId="0" fontId="163" fillId="8" borderId="0" applyNumberFormat="0" applyBorder="0" applyAlignment="0" applyProtection="0"/>
    <xf numFmtId="0" fontId="163" fillId="9" borderId="0" applyNumberFormat="0" applyBorder="0" applyAlignment="0" applyProtection="0"/>
    <xf numFmtId="0" fontId="163" fillId="10" borderId="0" applyNumberFormat="0" applyBorder="0" applyAlignment="0" applyProtection="0"/>
    <xf numFmtId="0" fontId="163" fillId="11" borderId="0" applyNumberFormat="0" applyBorder="0" applyAlignment="0" applyProtection="0"/>
    <xf numFmtId="0" fontId="163" fillId="12" borderId="0" applyNumberFormat="0" applyBorder="0" applyAlignment="0" applyProtection="0"/>
    <xf numFmtId="0" fontId="163" fillId="13" borderId="0" applyNumberFormat="0" applyBorder="0" applyAlignment="0" applyProtection="0"/>
    <xf numFmtId="0" fontId="163" fillId="14" borderId="0" applyNumberFormat="0" applyBorder="0" applyAlignment="0" applyProtection="0"/>
    <xf numFmtId="0" fontId="163" fillId="15" borderId="0" applyNumberFormat="0" applyBorder="0" applyAlignment="0" applyProtection="0"/>
    <xf numFmtId="0" fontId="163" fillId="16" borderId="0" applyNumberFormat="0" applyBorder="0" applyAlignment="0" applyProtection="0"/>
    <xf numFmtId="0" fontId="163" fillId="17" borderId="0" applyNumberFormat="0" applyBorder="0" applyAlignment="0" applyProtection="0"/>
    <xf numFmtId="0" fontId="163" fillId="18" borderId="0" applyNumberFormat="0" applyBorder="0" applyAlignment="0" applyProtection="0"/>
    <xf numFmtId="0" fontId="163" fillId="19" borderId="0" applyNumberFormat="0" applyBorder="0" applyAlignment="0" applyProtection="0"/>
    <xf numFmtId="0" fontId="164" fillId="20" borderId="0" applyNumberFormat="0" applyBorder="0" applyAlignment="0" applyProtection="0"/>
    <xf numFmtId="0" fontId="164" fillId="21" borderId="0" applyNumberFormat="0" applyBorder="0" applyAlignment="0" applyProtection="0"/>
    <xf numFmtId="0" fontId="164" fillId="22" borderId="0" applyNumberFormat="0" applyBorder="0" applyAlignment="0" applyProtection="0"/>
    <xf numFmtId="0" fontId="164" fillId="23" borderId="0" applyNumberFormat="0" applyBorder="0" applyAlignment="0" applyProtection="0"/>
    <xf numFmtId="0" fontId="164" fillId="24" borderId="0" applyNumberFormat="0" applyBorder="0" applyAlignment="0" applyProtection="0"/>
    <xf numFmtId="0" fontId="164" fillId="25" borderId="0" applyNumberFormat="0" applyBorder="0" applyAlignment="0" applyProtection="0"/>
    <xf numFmtId="0" fontId="165" fillId="26" borderId="0" applyNumberFormat="0" applyBorder="0" applyAlignment="0" applyProtection="0"/>
    <xf numFmtId="0" fontId="166" fillId="27" borderId="1" applyNumberFormat="0" applyAlignment="0" applyProtection="0"/>
    <xf numFmtId="0" fontId="16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8" fillId="0" borderId="0" applyNumberFormat="0" applyFill="0" applyBorder="0" applyAlignment="0" applyProtection="0"/>
    <xf numFmtId="0" fontId="169" fillId="29" borderId="0" applyNumberFormat="0" applyBorder="0" applyAlignment="0" applyProtection="0"/>
    <xf numFmtId="0" fontId="170" fillId="0" borderId="3" applyNumberFormat="0" applyFill="0" applyAlignment="0" applyProtection="0"/>
    <xf numFmtId="0" fontId="171" fillId="0" borderId="4" applyNumberFormat="0" applyFill="0" applyAlignment="0" applyProtection="0"/>
    <xf numFmtId="0" fontId="172" fillId="0" borderId="5" applyNumberFormat="0" applyFill="0" applyAlignment="0" applyProtection="0"/>
    <xf numFmtId="0" fontId="172" fillId="0" borderId="0" applyNumberFormat="0" applyFill="0" applyBorder="0" applyAlignment="0" applyProtection="0"/>
    <xf numFmtId="0" fontId="173" fillId="30" borderId="1" applyNumberFormat="0" applyAlignment="0" applyProtection="0"/>
    <xf numFmtId="0" fontId="174" fillId="0" borderId="6" applyNumberFormat="0" applyFill="0" applyAlignment="0" applyProtection="0"/>
    <xf numFmtId="0" fontId="175" fillId="31" borderId="0" applyNumberFormat="0" applyBorder="0" applyAlignment="0" applyProtection="0"/>
    <xf numFmtId="0" fontId="0" fillId="32" borderId="7" applyNumberFormat="0" applyFont="0" applyAlignment="0" applyProtection="0"/>
    <xf numFmtId="0" fontId="176" fillId="27" borderId="8" applyNumberFormat="0" applyAlignment="0" applyProtection="0"/>
    <xf numFmtId="9" fontId="0" fillId="0" borderId="0" applyFont="0" applyFill="0" applyBorder="0" applyAlignment="0" applyProtection="0"/>
    <xf numFmtId="0" fontId="177" fillId="0" borderId="0" applyNumberFormat="0" applyFill="0" applyBorder="0" applyAlignment="0" applyProtection="0"/>
    <xf numFmtId="0" fontId="178" fillId="0" borderId="9" applyNumberFormat="0" applyFill="0" applyAlignment="0" applyProtection="0"/>
    <xf numFmtId="0" fontId="179" fillId="0" borderId="0" applyNumberFormat="0" applyFill="0" applyBorder="0" applyAlignment="0" applyProtection="0"/>
  </cellStyleXfs>
  <cellXfs count="91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173" fontId="0" fillId="0" borderId="0" xfId="42" applyNumberFormat="1" applyFont="1" applyAlignment="1">
      <alignment/>
    </xf>
    <xf numFmtId="173" fontId="1" fillId="0" borderId="0" xfId="42" applyNumberFormat="1" applyFont="1" applyAlignment="1">
      <alignment/>
    </xf>
    <xf numFmtId="0" fontId="5" fillId="33" borderId="10" xfId="0" applyFont="1" applyFill="1" applyBorder="1" applyAlignment="1">
      <alignment horizontal="center"/>
    </xf>
    <xf numFmtId="0" fontId="6" fillId="0" borderId="0" xfId="0" applyFont="1" applyAlignment="1">
      <alignment/>
    </xf>
    <xf numFmtId="0" fontId="0" fillId="0" borderId="0" xfId="0" applyAlignment="1">
      <alignment horizontal="centerContinuous"/>
    </xf>
    <xf numFmtId="0" fontId="1" fillId="0" borderId="0" xfId="0" applyFont="1" applyAlignment="1">
      <alignment horizontal="centerContinuous"/>
    </xf>
    <xf numFmtId="0" fontId="8" fillId="0" borderId="0" xfId="0" applyFont="1" applyAlignment="1">
      <alignment horizontal="centerContinuous"/>
    </xf>
    <xf numFmtId="0" fontId="2" fillId="0" borderId="0" xfId="0" applyFont="1" applyAlignment="1">
      <alignment horizontal="right"/>
    </xf>
    <xf numFmtId="0" fontId="2"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3" fillId="0" borderId="11" xfId="0" applyFont="1" applyBorder="1" applyAlignment="1">
      <alignment horizontal="right"/>
    </xf>
    <xf numFmtId="0" fontId="3" fillId="0" borderId="12" xfId="0" applyFont="1" applyBorder="1" applyAlignment="1">
      <alignment horizontal="center"/>
    </xf>
    <xf numFmtId="0" fontId="3" fillId="0" borderId="13" xfId="0" applyFont="1" applyBorder="1" applyAlignment="1">
      <alignment horizontal="center"/>
    </xf>
    <xf numFmtId="0" fontId="5" fillId="33" borderId="14" xfId="0" applyFont="1" applyFill="1" applyBorder="1" applyAlignment="1">
      <alignment horizontal="right"/>
    </xf>
    <xf numFmtId="0" fontId="16" fillId="34" borderId="0" xfId="0" applyFont="1" applyFill="1" applyAlignment="1">
      <alignment horizontal="centerContinuous"/>
    </xf>
    <xf numFmtId="0" fontId="8" fillId="34" borderId="0" xfId="0" applyFont="1" applyFill="1" applyAlignment="1">
      <alignment horizontal="centerContinuous"/>
    </xf>
    <xf numFmtId="0" fontId="0" fillId="34" borderId="0" xfId="0" applyFill="1" applyAlignment="1">
      <alignment horizontal="centerContinuous"/>
    </xf>
    <xf numFmtId="0" fontId="1" fillId="34" borderId="15" xfId="0" applyFont="1" applyFill="1" applyBorder="1" applyAlignment="1">
      <alignment/>
    </xf>
    <xf numFmtId="0" fontId="6" fillId="34" borderId="16" xfId="0" applyFont="1" applyFill="1" applyBorder="1" applyAlignment="1">
      <alignment/>
    </xf>
    <xf numFmtId="0" fontId="18" fillId="34" borderId="16" xfId="0" applyFont="1" applyFill="1" applyBorder="1" applyAlignment="1">
      <alignment/>
    </xf>
    <xf numFmtId="0" fontId="19" fillId="34" borderId="16" xfId="0" applyFont="1" applyFill="1" applyBorder="1" applyAlignment="1">
      <alignment/>
    </xf>
    <xf numFmtId="0" fontId="12" fillId="34" borderId="16" xfId="0" applyFont="1" applyFill="1" applyBorder="1" applyAlignment="1">
      <alignment/>
    </xf>
    <xf numFmtId="0" fontId="13" fillId="34" borderId="16" xfId="0" applyFont="1" applyFill="1" applyBorder="1" applyAlignment="1">
      <alignment/>
    </xf>
    <xf numFmtId="0" fontId="15" fillId="34" borderId="16" xfId="0" applyFont="1" applyFill="1" applyBorder="1" applyAlignment="1">
      <alignment/>
    </xf>
    <xf numFmtId="0" fontId="5" fillId="34" borderId="17" xfId="0" applyFont="1" applyFill="1" applyBorder="1" applyAlignment="1">
      <alignment/>
    </xf>
    <xf numFmtId="0" fontId="9" fillId="34" borderId="18" xfId="0" applyFont="1" applyFill="1" applyBorder="1" applyAlignment="1">
      <alignment/>
    </xf>
    <xf numFmtId="0" fontId="10" fillId="34" borderId="19" xfId="0" applyFont="1" applyFill="1" applyBorder="1" applyAlignment="1">
      <alignment/>
    </xf>
    <xf numFmtId="0" fontId="11" fillId="34" borderId="19" xfId="0" applyFont="1" applyFill="1" applyBorder="1" applyAlignment="1">
      <alignment/>
    </xf>
    <xf numFmtId="0" fontId="17" fillId="34" borderId="20" xfId="0" applyFont="1" applyFill="1" applyBorder="1" applyAlignment="1">
      <alignment/>
    </xf>
    <xf numFmtId="0" fontId="23" fillId="35" borderId="0" xfId="0" applyFont="1" applyFill="1" applyAlignment="1">
      <alignment horizontal="centerContinuous"/>
    </xf>
    <xf numFmtId="0" fontId="0" fillId="35" borderId="0" xfId="0" applyFill="1" applyAlignment="1">
      <alignment horizontal="centerContinuous"/>
    </xf>
    <xf numFmtId="0" fontId="8" fillId="35" borderId="0" xfId="0" applyFont="1" applyFill="1" applyAlignment="1">
      <alignment horizontal="centerContinuous"/>
    </xf>
    <xf numFmtId="0" fontId="9" fillId="35" borderId="18" xfId="0" applyFont="1" applyFill="1" applyBorder="1" applyAlignment="1">
      <alignment/>
    </xf>
    <xf numFmtId="0" fontId="1" fillId="35" borderId="21" xfId="0" applyFont="1" applyFill="1" applyBorder="1" applyAlignment="1">
      <alignment/>
    </xf>
    <xf numFmtId="0" fontId="6" fillId="35" borderId="22" xfId="0" applyFont="1" applyFill="1" applyBorder="1" applyAlignment="1">
      <alignment/>
    </xf>
    <xf numFmtId="0" fontId="18" fillId="35" borderId="22" xfId="0" applyFont="1" applyFill="1" applyBorder="1" applyAlignment="1">
      <alignment/>
    </xf>
    <xf numFmtId="0" fontId="19" fillId="35" borderId="22" xfId="0" applyFont="1" applyFill="1" applyBorder="1" applyAlignment="1">
      <alignment/>
    </xf>
    <xf numFmtId="0" fontId="5" fillId="35" borderId="23" xfId="0" applyFont="1" applyFill="1" applyBorder="1" applyAlignment="1">
      <alignment/>
    </xf>
    <xf numFmtId="0" fontId="25" fillId="34" borderId="0" xfId="0" applyFont="1" applyFill="1" applyAlignment="1">
      <alignment horizontal="centerContinuous"/>
    </xf>
    <xf numFmtId="0" fontId="1" fillId="34" borderId="21" xfId="0" applyFont="1" applyFill="1" applyBorder="1" applyAlignment="1">
      <alignment/>
    </xf>
    <xf numFmtId="0" fontId="6" fillId="34" borderId="22" xfId="0" applyFont="1" applyFill="1" applyBorder="1" applyAlignment="1">
      <alignment/>
    </xf>
    <xf numFmtId="0" fontId="18" fillId="34" borderId="22" xfId="0" applyFont="1" applyFill="1" applyBorder="1" applyAlignment="1">
      <alignment/>
    </xf>
    <xf numFmtId="0" fontId="19" fillId="34" borderId="22" xfId="0" applyFont="1" applyFill="1" applyBorder="1" applyAlignment="1">
      <alignment/>
    </xf>
    <xf numFmtId="0" fontId="5" fillId="34" borderId="23" xfId="0" applyFont="1" applyFill="1" applyBorder="1" applyAlignment="1">
      <alignment/>
    </xf>
    <xf numFmtId="0" fontId="18" fillId="35" borderId="0" xfId="0" applyFont="1" applyFill="1" applyAlignment="1">
      <alignment horizontal="right"/>
    </xf>
    <xf numFmtId="0" fontId="14" fillId="34" borderId="0" xfId="0" applyFont="1" applyFill="1" applyAlignment="1">
      <alignment horizontal="right"/>
    </xf>
    <xf numFmtId="0" fontId="24" fillId="36" borderId="0" xfId="0" applyFont="1" applyFill="1" applyAlignment="1">
      <alignment horizontal="centerContinuous"/>
    </xf>
    <xf numFmtId="0" fontId="0" fillId="36" borderId="0" xfId="0" applyFill="1" applyAlignment="1">
      <alignment horizontal="centerContinuous"/>
    </xf>
    <xf numFmtId="0" fontId="8" fillId="36" borderId="0" xfId="0" applyFont="1" applyFill="1" applyAlignment="1">
      <alignment horizontal="centerContinuous"/>
    </xf>
    <xf numFmtId="0" fontId="1" fillId="36" borderId="24" xfId="0" applyFont="1" applyFill="1" applyBorder="1" applyAlignment="1">
      <alignment/>
    </xf>
    <xf numFmtId="0" fontId="6" fillId="36" borderId="25" xfId="0" applyFont="1" applyFill="1" applyBorder="1" applyAlignment="1">
      <alignment/>
    </xf>
    <xf numFmtId="0" fontId="18" fillId="36" borderId="25" xfId="0" applyFont="1" applyFill="1" applyBorder="1" applyAlignment="1">
      <alignment/>
    </xf>
    <xf numFmtId="0" fontId="19" fillId="36" borderId="25" xfId="0" applyFont="1" applyFill="1" applyBorder="1" applyAlignment="1">
      <alignment/>
    </xf>
    <xf numFmtId="0" fontId="5" fillId="36" borderId="26" xfId="0" applyFont="1" applyFill="1" applyBorder="1" applyAlignment="1">
      <alignment/>
    </xf>
    <xf numFmtId="0" fontId="9" fillId="36" borderId="18" xfId="0" applyFont="1" applyFill="1" applyBorder="1" applyAlignment="1">
      <alignment/>
    </xf>
    <xf numFmtId="0" fontId="7" fillId="36" borderId="0" xfId="0" applyFont="1" applyFill="1" applyAlignment="1">
      <alignment horizontal="right"/>
    </xf>
    <xf numFmtId="0" fontId="26" fillId="34" borderId="0" xfId="0" applyFont="1" applyFill="1" applyAlignment="1">
      <alignment horizontal="centerContinuous"/>
    </xf>
    <xf numFmtId="0" fontId="1" fillId="34" borderId="27" xfId="0" applyFont="1" applyFill="1" applyBorder="1" applyAlignment="1">
      <alignment/>
    </xf>
    <xf numFmtId="0" fontId="6" fillId="34" borderId="28" xfId="0" applyFont="1" applyFill="1" applyBorder="1" applyAlignment="1">
      <alignment/>
    </xf>
    <xf numFmtId="0" fontId="19" fillId="34" borderId="28" xfId="0" applyFont="1" applyFill="1" applyBorder="1" applyAlignment="1">
      <alignment/>
    </xf>
    <xf numFmtId="0" fontId="12" fillId="34" borderId="28" xfId="0" applyFont="1" applyFill="1" applyBorder="1" applyAlignment="1">
      <alignment/>
    </xf>
    <xf numFmtId="0" fontId="13" fillId="34" borderId="28" xfId="0" applyFont="1" applyFill="1" applyBorder="1" applyAlignment="1">
      <alignment/>
    </xf>
    <xf numFmtId="0" fontId="15" fillId="34" borderId="28" xfId="0" applyFont="1" applyFill="1" applyBorder="1" applyAlignment="1">
      <alignment/>
    </xf>
    <xf numFmtId="0" fontId="5" fillId="34" borderId="29" xfId="0" applyFont="1" applyFill="1" applyBorder="1" applyAlignment="1">
      <alignment/>
    </xf>
    <xf numFmtId="0" fontId="18" fillId="34" borderId="28" xfId="0" applyFont="1" applyFill="1" applyBorder="1" applyAlignment="1">
      <alignment/>
    </xf>
    <xf numFmtId="0" fontId="19" fillId="34" borderId="0" xfId="0" applyFont="1" applyFill="1" applyAlignment="1">
      <alignment horizontal="right"/>
    </xf>
    <xf numFmtId="0" fontId="13" fillId="34" borderId="0" xfId="0" applyFont="1" applyFill="1" applyAlignment="1">
      <alignment horizontal="right"/>
    </xf>
    <xf numFmtId="173" fontId="1" fillId="0" borderId="0" xfId="0" applyNumberFormat="1" applyFont="1" applyAlignment="1">
      <alignment horizontal="centerContinuous"/>
    </xf>
    <xf numFmtId="173" fontId="1" fillId="0" borderId="0" xfId="42" applyNumberFormat="1" applyFont="1" applyAlignment="1">
      <alignment horizontal="centerContinuous"/>
    </xf>
    <xf numFmtId="0" fontId="6" fillId="0" borderId="0" xfId="0" applyFont="1" applyAlignment="1">
      <alignment/>
    </xf>
    <xf numFmtId="0" fontId="30" fillId="0" borderId="0" xfId="0" applyFont="1" applyAlignment="1">
      <alignment horizontal="right"/>
    </xf>
    <xf numFmtId="173" fontId="8" fillId="0" borderId="0" xfId="42" applyNumberFormat="1" applyFont="1" applyAlignment="1">
      <alignment horizontal="centerContinuous"/>
    </xf>
    <xf numFmtId="0" fontId="31" fillId="0" borderId="0" xfId="0" applyFont="1" applyAlignment="1">
      <alignment/>
    </xf>
    <xf numFmtId="173" fontId="1" fillId="0" borderId="0" xfId="42" applyNumberFormat="1" applyFont="1" applyAlignment="1">
      <alignment horizontal="center"/>
    </xf>
    <xf numFmtId="0" fontId="17" fillId="0" borderId="0" xfId="0" applyFont="1" applyAlignment="1">
      <alignment horizontal="right"/>
    </xf>
    <xf numFmtId="173" fontId="17" fillId="0" borderId="0" xfId="42" applyNumberFormat="1" applyFont="1" applyAlignment="1">
      <alignment/>
    </xf>
    <xf numFmtId="0" fontId="4" fillId="0" borderId="0" xfId="0" applyFont="1" applyAlignment="1">
      <alignment/>
    </xf>
    <xf numFmtId="0" fontId="13" fillId="0" borderId="0" xfId="0" applyFont="1" applyAlignment="1">
      <alignment/>
    </xf>
    <xf numFmtId="173" fontId="34" fillId="0" borderId="0" xfId="42" applyNumberFormat="1" applyFont="1" applyAlignment="1">
      <alignment/>
    </xf>
    <xf numFmtId="173" fontId="34" fillId="0" borderId="0" xfId="42" applyNumberFormat="1" applyFont="1" applyAlignment="1">
      <alignment horizontal="center"/>
    </xf>
    <xf numFmtId="0" fontId="36" fillId="0" borderId="0" xfId="0" applyFont="1" applyAlignment="1">
      <alignment horizontal="right"/>
    </xf>
    <xf numFmtId="173" fontId="38" fillId="0" borderId="0" xfId="42" applyNumberFormat="1" applyFont="1" applyAlignment="1">
      <alignment/>
    </xf>
    <xf numFmtId="0" fontId="39" fillId="0" borderId="0" xfId="0" applyFont="1" applyAlignment="1">
      <alignment/>
    </xf>
    <xf numFmtId="0" fontId="38" fillId="0" borderId="0" xfId="0" applyFont="1" applyAlignment="1">
      <alignment horizontal="right"/>
    </xf>
    <xf numFmtId="0" fontId="38" fillId="0" borderId="0" xfId="0" applyFont="1" applyAlignment="1">
      <alignment/>
    </xf>
    <xf numFmtId="173" fontId="39" fillId="0" borderId="0" xfId="42" applyNumberFormat="1" applyFont="1" applyAlignment="1">
      <alignment/>
    </xf>
    <xf numFmtId="173" fontId="38" fillId="0" borderId="0" xfId="0" applyNumberFormat="1" applyFont="1" applyAlignment="1">
      <alignment/>
    </xf>
    <xf numFmtId="0" fontId="40" fillId="0" borderId="0" xfId="0" applyFont="1" applyAlignment="1">
      <alignment/>
    </xf>
    <xf numFmtId="0" fontId="41" fillId="0" borderId="0" xfId="0" applyFont="1" applyAlignment="1">
      <alignment/>
    </xf>
    <xf numFmtId="0" fontId="0" fillId="0" borderId="0" xfId="0" applyBorder="1" applyAlignment="1">
      <alignment/>
    </xf>
    <xf numFmtId="0" fontId="7" fillId="0" borderId="30" xfId="0" applyFont="1" applyBorder="1" applyAlignment="1">
      <alignment/>
    </xf>
    <xf numFmtId="0" fontId="5" fillId="0" borderId="0" xfId="0" applyFont="1" applyAlignment="1">
      <alignment/>
    </xf>
    <xf numFmtId="0" fontId="44" fillId="0" borderId="0" xfId="0" applyFont="1" applyAlignment="1">
      <alignment/>
    </xf>
    <xf numFmtId="0" fontId="19" fillId="0" borderId="0" xfId="0" applyFont="1" applyAlignment="1">
      <alignment/>
    </xf>
    <xf numFmtId="0" fontId="41"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xf>
    <xf numFmtId="0" fontId="11" fillId="0" borderId="0" xfId="0" applyFont="1" applyAlignment="1">
      <alignment/>
    </xf>
    <xf numFmtId="173" fontId="39" fillId="0" borderId="0" xfId="42" applyNumberFormat="1" applyFont="1" applyBorder="1" applyAlignment="1">
      <alignment horizontal="center"/>
    </xf>
    <xf numFmtId="0" fontId="50" fillId="0" borderId="0" xfId="0" applyFont="1" applyAlignment="1">
      <alignment/>
    </xf>
    <xf numFmtId="0" fontId="50" fillId="0" borderId="0" xfId="0" applyFont="1" applyAlignment="1">
      <alignment horizontal="center"/>
    </xf>
    <xf numFmtId="0" fontId="33" fillId="0" borderId="0" xfId="0" applyFont="1" applyAlignment="1">
      <alignment horizontal="centerContinuous"/>
    </xf>
    <xf numFmtId="0" fontId="52" fillId="0" borderId="0" xfId="0" applyFont="1" applyAlignment="1">
      <alignment horizontal="center"/>
    </xf>
    <xf numFmtId="0" fontId="49" fillId="0" borderId="0" xfId="0" applyFont="1" applyAlignment="1">
      <alignment/>
    </xf>
    <xf numFmtId="173" fontId="56" fillId="0" borderId="0" xfId="42" applyNumberFormat="1" applyFont="1" applyAlignment="1">
      <alignment/>
    </xf>
    <xf numFmtId="173" fontId="49" fillId="0" borderId="0" xfId="42" applyNumberFormat="1" applyFont="1" applyAlignment="1">
      <alignment/>
    </xf>
    <xf numFmtId="173" fontId="57" fillId="0" borderId="0" xfId="42" applyNumberFormat="1" applyFont="1" applyAlignment="1">
      <alignment/>
    </xf>
    <xf numFmtId="173" fontId="58" fillId="0" borderId="0" xfId="42" applyNumberFormat="1" applyFont="1" applyAlignment="1">
      <alignment/>
    </xf>
    <xf numFmtId="0" fontId="29" fillId="0" borderId="0" xfId="0" applyFont="1" applyAlignment="1">
      <alignment horizontal="centerContinuous"/>
    </xf>
    <xf numFmtId="0" fontId="50" fillId="0" borderId="0" xfId="0" applyFont="1" applyAlignment="1">
      <alignment horizontal="centerContinuous"/>
    </xf>
    <xf numFmtId="0" fontId="7" fillId="0" borderId="0" xfId="0" applyFont="1" applyAlignment="1">
      <alignment horizontal="center"/>
    </xf>
    <xf numFmtId="0" fontId="45" fillId="0" borderId="0" xfId="0" applyFont="1" applyAlignment="1">
      <alignment horizontal="centerContinuous"/>
    </xf>
    <xf numFmtId="0" fontId="61" fillId="0" borderId="0" xfId="0" applyFont="1" applyAlignment="1">
      <alignment horizontal="centerContinuous"/>
    </xf>
    <xf numFmtId="0" fontId="65" fillId="0" borderId="0" xfId="0" applyFont="1" applyAlignment="1">
      <alignment horizontal="center"/>
    </xf>
    <xf numFmtId="0" fontId="46" fillId="0" borderId="0" xfId="0" applyFont="1" applyAlignment="1">
      <alignment/>
    </xf>
    <xf numFmtId="0" fontId="65" fillId="0" borderId="0" xfId="0" applyFont="1" applyAlignment="1">
      <alignment horizontal="centerContinuous"/>
    </xf>
    <xf numFmtId="0" fontId="64" fillId="0" borderId="0" xfId="0" applyFont="1" applyAlignment="1">
      <alignment horizontal="centerContinuous"/>
    </xf>
    <xf numFmtId="0" fontId="32" fillId="37" borderId="31" xfId="0" applyFont="1" applyFill="1" applyBorder="1" applyAlignment="1">
      <alignment/>
    </xf>
    <xf numFmtId="0" fontId="17" fillId="37" borderId="32" xfId="0" applyFont="1" applyFill="1" applyBorder="1" applyAlignment="1">
      <alignment horizontal="right"/>
    </xf>
    <xf numFmtId="0" fontId="0" fillId="37" borderId="32" xfId="0" applyFill="1" applyBorder="1" applyAlignment="1">
      <alignment/>
    </xf>
    <xf numFmtId="0" fontId="0" fillId="37" borderId="33" xfId="0" applyFill="1" applyBorder="1" applyAlignment="1">
      <alignment horizontal="centerContinuous"/>
    </xf>
    <xf numFmtId="0" fontId="4" fillId="37" borderId="34" xfId="0" applyFont="1" applyFill="1" applyBorder="1" applyAlignment="1">
      <alignment/>
    </xf>
    <xf numFmtId="0" fontId="17" fillId="37" borderId="35" xfId="0" applyFont="1" applyFill="1" applyBorder="1" applyAlignment="1">
      <alignment horizontal="right"/>
    </xf>
    <xf numFmtId="173" fontId="49" fillId="37" borderId="35" xfId="42" applyNumberFormat="1" applyFont="1" applyFill="1" applyBorder="1" applyAlignment="1">
      <alignment/>
    </xf>
    <xf numFmtId="173" fontId="59" fillId="37" borderId="35" xfId="42" applyNumberFormat="1" applyFont="1" applyFill="1" applyBorder="1" applyAlignment="1">
      <alignment horizontal="center"/>
    </xf>
    <xf numFmtId="0" fontId="49" fillId="37" borderId="35" xfId="0" applyFont="1" applyFill="1" applyBorder="1" applyAlignment="1">
      <alignment/>
    </xf>
    <xf numFmtId="0" fontId="49" fillId="37" borderId="35" xfId="0" applyFont="1" applyFill="1" applyBorder="1" applyAlignment="1">
      <alignment horizontal="centerContinuous"/>
    </xf>
    <xf numFmtId="0" fontId="0" fillId="37" borderId="35" xfId="0" applyFill="1" applyBorder="1" applyAlignment="1">
      <alignment/>
    </xf>
    <xf numFmtId="173" fontId="47" fillId="37" borderId="36" xfId="0" applyNumberFormat="1" applyFont="1" applyFill="1" applyBorder="1" applyAlignment="1">
      <alignment/>
    </xf>
    <xf numFmtId="0" fontId="38" fillId="0" borderId="0" xfId="0" applyFont="1" applyAlignment="1">
      <alignment horizontal="centerContinuous"/>
    </xf>
    <xf numFmtId="173" fontId="47" fillId="37" borderId="34" xfId="42" applyNumberFormat="1" applyFont="1" applyFill="1" applyBorder="1" applyAlignment="1">
      <alignment horizontal="center"/>
    </xf>
    <xf numFmtId="0" fontId="7" fillId="37" borderId="31" xfId="0" applyFont="1" applyFill="1" applyBorder="1" applyAlignment="1">
      <alignment horizontal="centerContinuous"/>
    </xf>
    <xf numFmtId="0" fontId="19" fillId="0" borderId="0" xfId="0" applyFont="1" applyAlignment="1">
      <alignment horizontal="centerContinuous"/>
    </xf>
    <xf numFmtId="0" fontId="66" fillId="0" borderId="37" xfId="0" applyFont="1" applyBorder="1" applyAlignment="1">
      <alignment/>
    </xf>
    <xf numFmtId="0" fontId="68" fillId="0" borderId="0" xfId="0" applyFont="1" applyAlignment="1">
      <alignment/>
    </xf>
    <xf numFmtId="0" fontId="69" fillId="38" borderId="38" xfId="0" applyFont="1" applyFill="1" applyBorder="1" applyAlignment="1">
      <alignment horizontal="center"/>
    </xf>
    <xf numFmtId="173" fontId="19" fillId="0" borderId="39" xfId="0" applyNumberFormat="1" applyFont="1" applyBorder="1" applyAlignment="1">
      <alignment/>
    </xf>
    <xf numFmtId="173" fontId="19" fillId="0" borderId="30" xfId="42" applyNumberFormat="1" applyFont="1" applyBorder="1" applyAlignment="1">
      <alignment horizontal="right"/>
    </xf>
    <xf numFmtId="0" fontId="70" fillId="0" borderId="0" xfId="0" applyFont="1" applyBorder="1" applyAlignment="1">
      <alignment/>
    </xf>
    <xf numFmtId="173" fontId="19" fillId="0" borderId="40" xfId="0" applyNumberFormat="1" applyFont="1" applyBorder="1" applyAlignment="1">
      <alignment/>
    </xf>
    <xf numFmtId="173" fontId="19" fillId="0" borderId="41" xfId="0" applyNumberFormat="1" applyFont="1" applyBorder="1" applyAlignment="1">
      <alignment/>
    </xf>
    <xf numFmtId="173" fontId="19" fillId="0" borderId="0" xfId="0" applyNumberFormat="1" applyFont="1" applyBorder="1" applyAlignment="1">
      <alignment/>
    </xf>
    <xf numFmtId="173" fontId="19" fillId="0" borderId="42" xfId="0" applyNumberFormat="1" applyFont="1" applyBorder="1" applyAlignment="1">
      <alignment/>
    </xf>
    <xf numFmtId="173" fontId="19" fillId="0" borderId="43" xfId="0" applyNumberFormat="1" applyFont="1" applyBorder="1" applyAlignment="1">
      <alignment/>
    </xf>
    <xf numFmtId="0" fontId="38" fillId="0" borderId="0" xfId="0" applyFont="1" applyAlignment="1">
      <alignment horizontal="center"/>
    </xf>
    <xf numFmtId="173" fontId="71" fillId="0" borderId="0" xfId="42" applyNumberFormat="1" applyFont="1" applyBorder="1" applyAlignment="1">
      <alignment horizontal="center"/>
    </xf>
    <xf numFmtId="0" fontId="43" fillId="38" borderId="44" xfId="0" applyFont="1" applyFill="1" applyBorder="1" applyAlignment="1">
      <alignment/>
    </xf>
    <xf numFmtId="0" fontId="69" fillId="38" borderId="40" xfId="0" applyFont="1" applyFill="1" applyBorder="1" applyAlignment="1">
      <alignment horizontal="center"/>
    </xf>
    <xf numFmtId="0" fontId="69" fillId="38" borderId="41" xfId="0" applyFont="1" applyFill="1" applyBorder="1" applyAlignment="1">
      <alignment horizontal="center"/>
    </xf>
    <xf numFmtId="0" fontId="41" fillId="0" borderId="45" xfId="0" applyFont="1" applyBorder="1" applyAlignment="1">
      <alignment/>
    </xf>
    <xf numFmtId="0" fontId="70" fillId="0" borderId="46" xfId="0" applyFont="1" applyBorder="1" applyAlignment="1">
      <alignment/>
    </xf>
    <xf numFmtId="0" fontId="43" fillId="38" borderId="47" xfId="0" applyFont="1" applyFill="1" applyBorder="1" applyAlignment="1">
      <alignment/>
    </xf>
    <xf numFmtId="0" fontId="69" fillId="38" borderId="48" xfId="0" applyFont="1" applyFill="1" applyBorder="1" applyAlignment="1">
      <alignment horizontal="center"/>
    </xf>
    <xf numFmtId="0" fontId="19" fillId="0" borderId="30" xfId="0" applyFont="1" applyBorder="1" applyAlignment="1">
      <alignment horizontal="right"/>
    </xf>
    <xf numFmtId="0" fontId="44" fillId="0" borderId="49" xfId="0" applyFont="1" applyBorder="1" applyAlignment="1">
      <alignment/>
    </xf>
    <xf numFmtId="0" fontId="44" fillId="0" borderId="44" xfId="0" applyFont="1" applyBorder="1" applyAlignment="1">
      <alignment/>
    </xf>
    <xf numFmtId="0" fontId="44" fillId="0" borderId="50" xfId="0" applyFont="1" applyBorder="1" applyAlignment="1">
      <alignment/>
    </xf>
    <xf numFmtId="0" fontId="3" fillId="0" borderId="11" xfId="0" applyFont="1" applyBorder="1" applyAlignment="1">
      <alignment horizontal="center"/>
    </xf>
    <xf numFmtId="0" fontId="8" fillId="0" borderId="51" xfId="0" applyFont="1" applyBorder="1" applyAlignment="1">
      <alignment/>
    </xf>
    <xf numFmtId="0" fontId="0" fillId="0" borderId="52" xfId="0" applyBorder="1" applyAlignment="1">
      <alignment/>
    </xf>
    <xf numFmtId="173" fontId="34" fillId="0" borderId="52" xfId="42" applyNumberFormat="1" applyFont="1" applyBorder="1" applyAlignment="1">
      <alignment/>
    </xf>
    <xf numFmtId="0" fontId="0" fillId="0" borderId="53" xfId="0" applyBorder="1" applyAlignment="1">
      <alignment/>
    </xf>
    <xf numFmtId="0" fontId="0" fillId="0" borderId="54" xfId="0" applyBorder="1" applyAlignment="1">
      <alignment/>
    </xf>
    <xf numFmtId="173" fontId="34" fillId="0" borderId="0" xfId="42" applyNumberFormat="1" applyFont="1" applyBorder="1" applyAlignment="1">
      <alignment/>
    </xf>
    <xf numFmtId="0" fontId="1" fillId="0" borderId="0" xfId="0" applyFont="1" applyBorder="1" applyAlignment="1">
      <alignment horizontal="right"/>
    </xf>
    <xf numFmtId="173" fontId="1" fillId="0" borderId="0" xfId="0" applyNumberFormat="1" applyFont="1" applyBorder="1" applyAlignment="1">
      <alignment horizontal="centerContinuous"/>
    </xf>
    <xf numFmtId="0" fontId="0" fillId="0" borderId="0" xfId="0" applyBorder="1" applyAlignment="1">
      <alignment horizontal="centerContinuous"/>
    </xf>
    <xf numFmtId="0" fontId="1" fillId="0" borderId="0" xfId="0" applyFont="1" applyBorder="1" applyAlignment="1">
      <alignment/>
    </xf>
    <xf numFmtId="0" fontId="0" fillId="0" borderId="55" xfId="0" applyBorder="1" applyAlignment="1">
      <alignment/>
    </xf>
    <xf numFmtId="0" fontId="1" fillId="0" borderId="0" xfId="0" applyFont="1" applyBorder="1" applyAlignment="1">
      <alignment horizontal="centerContinuous"/>
    </xf>
    <xf numFmtId="0" fontId="28" fillId="0" borderId="0" xfId="0" applyFont="1" applyBorder="1" applyAlignment="1">
      <alignment/>
    </xf>
    <xf numFmtId="0" fontId="3" fillId="0" borderId="0" xfId="0" applyFont="1" applyBorder="1" applyAlignment="1">
      <alignment horizontal="right"/>
    </xf>
    <xf numFmtId="0" fontId="28" fillId="0" borderId="0" xfId="0" applyFont="1" applyBorder="1" applyAlignment="1">
      <alignment horizontal="right"/>
    </xf>
    <xf numFmtId="0" fontId="37" fillId="0" borderId="0" xfId="0" applyFont="1" applyBorder="1" applyAlignment="1">
      <alignment horizontal="right"/>
    </xf>
    <xf numFmtId="0" fontId="0" fillId="0" borderId="56" xfId="0" applyBorder="1" applyAlignment="1">
      <alignment/>
    </xf>
    <xf numFmtId="0" fontId="0" fillId="0" borderId="57" xfId="0" applyBorder="1" applyAlignment="1">
      <alignment/>
    </xf>
    <xf numFmtId="0" fontId="1" fillId="0" borderId="57" xfId="0" applyFont="1" applyBorder="1" applyAlignment="1">
      <alignment horizontal="right"/>
    </xf>
    <xf numFmtId="173" fontId="1" fillId="0" borderId="57" xfId="0" applyNumberFormat="1" applyFont="1" applyBorder="1" applyAlignment="1">
      <alignment horizontal="centerContinuous"/>
    </xf>
    <xf numFmtId="0" fontId="1" fillId="0" borderId="57" xfId="0" applyFont="1" applyBorder="1" applyAlignment="1">
      <alignment/>
    </xf>
    <xf numFmtId="0" fontId="0" fillId="0" borderId="58" xfId="0" applyBorder="1" applyAlignment="1">
      <alignment/>
    </xf>
    <xf numFmtId="0" fontId="8" fillId="0" borderId="11" xfId="0" applyFont="1" applyBorder="1" applyAlignment="1">
      <alignment/>
    </xf>
    <xf numFmtId="0" fontId="0" fillId="0" borderId="12" xfId="0" applyBorder="1" applyAlignment="1">
      <alignment/>
    </xf>
    <xf numFmtId="173" fontId="34" fillId="0" borderId="12" xfId="42" applyNumberFormat="1" applyFont="1" applyBorder="1" applyAlignment="1">
      <alignment/>
    </xf>
    <xf numFmtId="0" fontId="0" fillId="0" borderId="13" xfId="0" applyBorder="1" applyAlignment="1">
      <alignment/>
    </xf>
    <xf numFmtId="0" fontId="0" fillId="0" borderId="59" xfId="0" applyBorder="1" applyAlignment="1">
      <alignment/>
    </xf>
    <xf numFmtId="0" fontId="3" fillId="0" borderId="0" xfId="0" applyFont="1" applyBorder="1" applyAlignment="1">
      <alignment/>
    </xf>
    <xf numFmtId="0" fontId="0" fillId="0" borderId="60" xfId="0" applyBorder="1" applyAlignment="1">
      <alignment/>
    </xf>
    <xf numFmtId="171" fontId="1" fillId="0" borderId="0" xfId="0" applyNumberFormat="1" applyFont="1" applyBorder="1" applyAlignment="1">
      <alignment horizontal="centerContinuous"/>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8" fillId="0" borderId="64" xfId="0" applyFont="1"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1" fillId="0" borderId="70" xfId="0" applyFont="1" applyBorder="1" applyAlignment="1">
      <alignment horizontal="right"/>
    </xf>
    <xf numFmtId="0" fontId="1" fillId="0" borderId="70" xfId="0" applyFont="1" applyBorder="1" applyAlignment="1">
      <alignment/>
    </xf>
    <xf numFmtId="0" fontId="0" fillId="0" borderId="71" xfId="0" applyBorder="1" applyAlignment="1">
      <alignment/>
    </xf>
    <xf numFmtId="0" fontId="8" fillId="37" borderId="72" xfId="0" applyFont="1" applyFill="1" applyBorder="1" applyAlignment="1">
      <alignment/>
    </xf>
    <xf numFmtId="0" fontId="0" fillId="37" borderId="73" xfId="0" applyFill="1" applyBorder="1" applyAlignment="1">
      <alignment/>
    </xf>
    <xf numFmtId="0" fontId="0" fillId="37" borderId="74" xfId="0" applyFill="1" applyBorder="1" applyAlignment="1">
      <alignment/>
    </xf>
    <xf numFmtId="0" fontId="0" fillId="37" borderId="75" xfId="0" applyFill="1" applyBorder="1" applyAlignment="1">
      <alignment/>
    </xf>
    <xf numFmtId="0" fontId="0" fillId="37" borderId="76" xfId="0" applyFill="1" applyBorder="1" applyAlignment="1">
      <alignment/>
    </xf>
    <xf numFmtId="0" fontId="0" fillId="37" borderId="77" xfId="0" applyFill="1" applyBorder="1" applyAlignment="1">
      <alignment/>
    </xf>
    <xf numFmtId="0" fontId="72" fillId="37" borderId="76" xfId="0" applyFont="1" applyFill="1" applyBorder="1" applyAlignment="1">
      <alignment/>
    </xf>
    <xf numFmtId="0" fontId="1" fillId="37" borderId="76" xfId="0" applyFont="1" applyFill="1" applyBorder="1" applyAlignment="1">
      <alignment horizontal="right"/>
    </xf>
    <xf numFmtId="0" fontId="46" fillId="37" borderId="76" xfId="0" applyFont="1" applyFill="1" applyBorder="1" applyAlignment="1">
      <alignment/>
    </xf>
    <xf numFmtId="0" fontId="13" fillId="37" borderId="76" xfId="0" applyFont="1" applyFill="1" applyBorder="1" applyAlignment="1">
      <alignment horizontal="right"/>
    </xf>
    <xf numFmtId="173" fontId="13" fillId="37" borderId="76" xfId="0" applyNumberFormat="1" applyFont="1" applyFill="1" applyBorder="1" applyAlignment="1">
      <alignment horizontal="centerContinuous"/>
    </xf>
    <xf numFmtId="0" fontId="13" fillId="37" borderId="76" xfId="0" applyFont="1" applyFill="1" applyBorder="1" applyAlignment="1">
      <alignment horizontal="centerContinuous"/>
    </xf>
    <xf numFmtId="0" fontId="13" fillId="37" borderId="76" xfId="0" applyFont="1" applyFill="1" applyBorder="1" applyAlignment="1">
      <alignment/>
    </xf>
    <xf numFmtId="0" fontId="1" fillId="37" borderId="76" xfId="0" applyFont="1" applyFill="1" applyBorder="1" applyAlignment="1">
      <alignment/>
    </xf>
    <xf numFmtId="0" fontId="5" fillId="37" borderId="76" xfId="0" applyFont="1" applyFill="1" applyBorder="1" applyAlignment="1">
      <alignment horizontal="right"/>
    </xf>
    <xf numFmtId="173" fontId="5" fillId="37" borderId="76" xfId="0" applyNumberFormat="1" applyFont="1" applyFill="1" applyBorder="1" applyAlignment="1">
      <alignment horizontal="centerContinuous"/>
    </xf>
    <xf numFmtId="0" fontId="5" fillId="37" borderId="76" xfId="0" applyFont="1" applyFill="1" applyBorder="1" applyAlignment="1">
      <alignment horizontal="centerContinuous"/>
    </xf>
    <xf numFmtId="0" fontId="5" fillId="37" borderId="76" xfId="0" applyFont="1" applyFill="1" applyBorder="1" applyAlignment="1">
      <alignment/>
    </xf>
    <xf numFmtId="1" fontId="1" fillId="37" borderId="76" xfId="0" applyNumberFormat="1" applyFont="1" applyFill="1" applyBorder="1" applyAlignment="1">
      <alignment/>
    </xf>
    <xf numFmtId="0" fontId="0" fillId="37" borderId="78" xfId="0" applyFill="1" applyBorder="1" applyAlignment="1">
      <alignment/>
    </xf>
    <xf numFmtId="0" fontId="0" fillId="37" borderId="79" xfId="0" applyFill="1" applyBorder="1" applyAlignment="1">
      <alignment/>
    </xf>
    <xf numFmtId="0" fontId="1" fillId="37" borderId="79" xfId="0" applyFont="1" applyFill="1" applyBorder="1" applyAlignment="1">
      <alignment horizontal="right"/>
    </xf>
    <xf numFmtId="177" fontId="1" fillId="37" borderId="79" xfId="0" applyNumberFormat="1" applyFont="1" applyFill="1" applyBorder="1" applyAlignment="1">
      <alignment/>
    </xf>
    <xf numFmtId="0" fontId="1" fillId="37" borderId="79" xfId="0" applyFont="1" applyFill="1" applyBorder="1" applyAlignment="1">
      <alignment/>
    </xf>
    <xf numFmtId="0" fontId="0" fillId="37" borderId="80" xfId="0" applyFill="1" applyBorder="1" applyAlignment="1">
      <alignment/>
    </xf>
    <xf numFmtId="0" fontId="8" fillId="37" borderId="81" xfId="0" applyFont="1" applyFill="1" applyBorder="1" applyAlignment="1">
      <alignment/>
    </xf>
    <xf numFmtId="0" fontId="0" fillId="0" borderId="82" xfId="0" applyBorder="1"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1" fillId="0" borderId="84" xfId="0" applyFont="1" applyBorder="1" applyAlignment="1">
      <alignment/>
    </xf>
    <xf numFmtId="0" fontId="0" fillId="0" borderId="86" xfId="0" applyBorder="1" applyAlignment="1">
      <alignment/>
    </xf>
    <xf numFmtId="0" fontId="1" fillId="0" borderId="87" xfId="0" applyFont="1" applyBorder="1" applyAlignment="1">
      <alignment/>
    </xf>
    <xf numFmtId="0" fontId="0" fillId="0" borderId="87" xfId="0" applyBorder="1" applyAlignment="1">
      <alignment/>
    </xf>
    <xf numFmtId="0" fontId="0" fillId="0" borderId="88" xfId="0" applyBorder="1" applyAlignment="1">
      <alignment/>
    </xf>
    <xf numFmtId="173" fontId="64" fillId="34" borderId="0" xfId="42" applyNumberFormat="1" applyFont="1" applyFill="1" applyAlignment="1">
      <alignment/>
    </xf>
    <xf numFmtId="173" fontId="73" fillId="34" borderId="0" xfId="42" applyNumberFormat="1" applyFont="1" applyFill="1" applyAlignment="1">
      <alignment/>
    </xf>
    <xf numFmtId="173" fontId="74" fillId="36" borderId="0" xfId="42" applyNumberFormat="1" applyFont="1" applyFill="1" applyAlignment="1">
      <alignment/>
    </xf>
    <xf numFmtId="173" fontId="75" fillId="34" borderId="0" xfId="42" applyNumberFormat="1" applyFont="1" applyFill="1" applyAlignment="1">
      <alignment/>
    </xf>
    <xf numFmtId="173" fontId="76" fillId="35" borderId="0" xfId="42" applyNumberFormat="1" applyFont="1" applyFill="1" applyAlignment="1">
      <alignment/>
    </xf>
    <xf numFmtId="173" fontId="51" fillId="37" borderId="32" xfId="42" applyNumberFormat="1" applyFont="1" applyFill="1" applyBorder="1" applyAlignment="1">
      <alignment/>
    </xf>
    <xf numFmtId="173" fontId="77" fillId="37" borderId="32" xfId="42" applyNumberFormat="1" applyFont="1" applyFill="1" applyBorder="1" applyAlignment="1">
      <alignment/>
    </xf>
    <xf numFmtId="173" fontId="52" fillId="37" borderId="32" xfId="42" applyNumberFormat="1" applyFont="1" applyFill="1" applyBorder="1" applyAlignment="1">
      <alignment/>
    </xf>
    <xf numFmtId="173" fontId="65" fillId="37" borderId="32" xfId="42" applyNumberFormat="1" applyFont="1" applyFill="1" applyBorder="1" applyAlignment="1">
      <alignment horizontal="center"/>
    </xf>
    <xf numFmtId="0" fontId="78" fillId="37" borderId="32" xfId="0" applyFont="1" applyFill="1" applyBorder="1" applyAlignment="1">
      <alignment horizontal="center"/>
    </xf>
    <xf numFmtId="173" fontId="79" fillId="37" borderId="35" xfId="42" applyNumberFormat="1" applyFont="1" applyFill="1" applyBorder="1" applyAlignment="1">
      <alignment/>
    </xf>
    <xf numFmtId="0" fontId="0" fillId="37" borderId="89" xfId="0" applyFill="1" applyBorder="1" applyAlignment="1">
      <alignment/>
    </xf>
    <xf numFmtId="0" fontId="1" fillId="37" borderId="76" xfId="0" applyFont="1" applyFill="1" applyBorder="1" applyAlignment="1">
      <alignment horizontal="centerContinuous"/>
    </xf>
    <xf numFmtId="0" fontId="1" fillId="37" borderId="76" xfId="0" applyFont="1" applyFill="1" applyBorder="1" applyAlignment="1">
      <alignment horizontal="center"/>
    </xf>
    <xf numFmtId="0" fontId="0" fillId="37" borderId="76" xfId="0" applyFill="1" applyBorder="1" applyAlignment="1">
      <alignment horizontal="right"/>
    </xf>
    <xf numFmtId="173" fontId="39" fillId="0" borderId="0" xfId="0" applyNumberFormat="1" applyFont="1" applyAlignment="1">
      <alignment/>
    </xf>
    <xf numFmtId="0" fontId="80" fillId="37" borderId="76" xfId="0" applyFont="1" applyFill="1" applyBorder="1" applyAlignment="1">
      <alignment/>
    </xf>
    <xf numFmtId="0" fontId="81" fillId="37" borderId="75" xfId="0" applyFont="1" applyFill="1" applyBorder="1" applyAlignment="1">
      <alignment/>
    </xf>
    <xf numFmtId="0" fontId="81" fillId="37" borderId="76" xfId="0" applyFont="1" applyFill="1" applyBorder="1" applyAlignment="1">
      <alignment/>
    </xf>
    <xf numFmtId="177" fontId="1" fillId="37" borderId="76" xfId="0" applyNumberFormat="1" applyFont="1" applyFill="1" applyBorder="1" applyAlignment="1">
      <alignment/>
    </xf>
    <xf numFmtId="177" fontId="80" fillId="37" borderId="76" xfId="0" applyNumberFormat="1" applyFont="1" applyFill="1" applyBorder="1" applyAlignment="1">
      <alignment/>
    </xf>
    <xf numFmtId="177" fontId="0" fillId="37" borderId="76" xfId="0" applyNumberFormat="1" applyFill="1" applyBorder="1" applyAlignment="1">
      <alignment/>
    </xf>
    <xf numFmtId="0" fontId="72" fillId="37" borderId="76" xfId="0" applyFont="1" applyFill="1" applyBorder="1" applyAlignment="1">
      <alignment horizontal="centerContinuous"/>
    </xf>
    <xf numFmtId="173" fontId="46" fillId="37" borderId="76" xfId="0" applyNumberFormat="1" applyFont="1" applyFill="1" applyBorder="1" applyAlignment="1">
      <alignment/>
    </xf>
    <xf numFmtId="0" fontId="38" fillId="0" borderId="0" xfId="0" applyFont="1" applyAlignment="1">
      <alignment horizontal="center"/>
    </xf>
    <xf numFmtId="0" fontId="72" fillId="0" borderId="0" xfId="0" applyFont="1" applyAlignment="1">
      <alignment/>
    </xf>
    <xf numFmtId="0" fontId="39" fillId="0" borderId="0" xfId="0" applyFont="1" applyAlignment="1">
      <alignment horizontal="right"/>
    </xf>
    <xf numFmtId="1" fontId="39" fillId="0" borderId="0" xfId="0" applyNumberFormat="1" applyFont="1" applyAlignment="1">
      <alignment/>
    </xf>
    <xf numFmtId="0" fontId="54" fillId="37" borderId="32" xfId="0" applyFont="1" applyFill="1" applyBorder="1" applyAlignment="1">
      <alignment/>
    </xf>
    <xf numFmtId="0" fontId="5" fillId="0" borderId="0" xfId="0" applyFont="1" applyAlignment="1">
      <alignment horizontal="centerContinuous"/>
    </xf>
    <xf numFmtId="173" fontId="5" fillId="0" borderId="0" xfId="42" applyNumberFormat="1" applyFont="1" applyAlignment="1">
      <alignment horizontal="centerContinuous"/>
    </xf>
    <xf numFmtId="173" fontId="13" fillId="0" borderId="0" xfId="42" applyNumberFormat="1" applyFont="1" applyAlignment="1">
      <alignment/>
    </xf>
    <xf numFmtId="171" fontId="38" fillId="0" borderId="0" xfId="42" applyNumberFormat="1" applyFont="1" applyAlignment="1">
      <alignment/>
    </xf>
    <xf numFmtId="173" fontId="1" fillId="0" borderId="0" xfId="0" applyNumberFormat="1" applyFont="1" applyAlignment="1">
      <alignment/>
    </xf>
    <xf numFmtId="0" fontId="0" fillId="0" borderId="0" xfId="0" applyAlignment="1">
      <alignment horizontal="center"/>
    </xf>
    <xf numFmtId="173" fontId="38" fillId="0" borderId="0" xfId="42" applyNumberFormat="1" applyFont="1" applyAlignment="1">
      <alignment horizontal="center"/>
    </xf>
    <xf numFmtId="0" fontId="83" fillId="39" borderId="0" xfId="0" applyFont="1" applyFill="1" applyAlignment="1">
      <alignment/>
    </xf>
    <xf numFmtId="0" fontId="82" fillId="39" borderId="0" xfId="0" applyFont="1" applyFill="1" applyAlignment="1">
      <alignment horizontal="right"/>
    </xf>
    <xf numFmtId="0" fontId="82" fillId="39" borderId="0" xfId="0" applyFont="1" applyFill="1" applyAlignment="1">
      <alignment/>
    </xf>
    <xf numFmtId="0" fontId="85" fillId="0" borderId="0" xfId="0" applyFont="1" applyAlignment="1">
      <alignment horizontal="right"/>
    </xf>
    <xf numFmtId="173" fontId="72" fillId="0" borderId="0" xfId="0" applyNumberFormat="1" applyFont="1" applyAlignment="1">
      <alignment/>
    </xf>
    <xf numFmtId="173" fontId="0" fillId="0" borderId="90" xfId="42" applyNumberFormat="1" applyFont="1" applyBorder="1" applyAlignment="1">
      <alignment/>
    </xf>
    <xf numFmtId="173" fontId="0" fillId="0" borderId="0" xfId="42" applyNumberFormat="1" applyFont="1" applyBorder="1" applyAlignment="1">
      <alignment/>
    </xf>
    <xf numFmtId="173" fontId="0" fillId="0" borderId="91" xfId="42" applyNumberFormat="1" applyFont="1" applyBorder="1" applyAlignment="1">
      <alignment/>
    </xf>
    <xf numFmtId="0" fontId="0" fillId="0" borderId="90" xfId="0" applyBorder="1" applyAlignment="1">
      <alignment/>
    </xf>
    <xf numFmtId="0" fontId="0" fillId="0" borderId="92" xfId="0" applyBorder="1" applyAlignment="1">
      <alignment/>
    </xf>
    <xf numFmtId="173" fontId="38" fillId="0" borderId="0" xfId="42" applyNumberFormat="1" applyFont="1" applyAlignment="1">
      <alignment horizontal="right"/>
    </xf>
    <xf numFmtId="0" fontId="6" fillId="0" borderId="91" xfId="0" applyFont="1" applyBorder="1" applyAlignment="1">
      <alignment horizontal="right"/>
    </xf>
    <xf numFmtId="0" fontId="6" fillId="0" borderId="93" xfId="0" applyFont="1" applyBorder="1" applyAlignment="1">
      <alignment horizontal="right"/>
    </xf>
    <xf numFmtId="173" fontId="0" fillId="0" borderId="90" xfId="42" applyNumberFormat="1" applyFont="1" applyBorder="1" applyAlignment="1">
      <alignment horizontal="center"/>
    </xf>
    <xf numFmtId="173" fontId="0" fillId="0" borderId="0" xfId="42" applyNumberFormat="1" applyFont="1" applyBorder="1" applyAlignment="1">
      <alignment horizontal="center"/>
    </xf>
    <xf numFmtId="173" fontId="0" fillId="0" borderId="91" xfId="42" applyNumberFormat="1" applyFont="1" applyBorder="1" applyAlignment="1">
      <alignment horizontal="center"/>
    </xf>
    <xf numFmtId="173" fontId="0" fillId="0" borderId="92" xfId="42" applyNumberFormat="1" applyFont="1" applyBorder="1" applyAlignment="1">
      <alignment horizontal="center"/>
    </xf>
    <xf numFmtId="173" fontId="0" fillId="0" borderId="94" xfId="42" applyNumberFormat="1" applyFont="1" applyBorder="1" applyAlignment="1">
      <alignment horizontal="center"/>
    </xf>
    <xf numFmtId="173" fontId="0" fillId="0" borderId="93" xfId="42" applyNumberFormat="1" applyFont="1" applyBorder="1" applyAlignment="1">
      <alignment horizontal="center"/>
    </xf>
    <xf numFmtId="0" fontId="83" fillId="39" borderId="95" xfId="0" applyFont="1" applyFill="1" applyBorder="1" applyAlignment="1">
      <alignment/>
    </xf>
    <xf numFmtId="0" fontId="82" fillId="39" borderId="96" xfId="0" applyFont="1" applyFill="1" applyBorder="1" applyAlignment="1">
      <alignment horizontal="right"/>
    </xf>
    <xf numFmtId="173" fontId="82" fillId="39" borderId="96" xfId="42" applyNumberFormat="1" applyFont="1" applyFill="1" applyBorder="1" applyAlignment="1">
      <alignment/>
    </xf>
    <xf numFmtId="0" fontId="82" fillId="39" borderId="97" xfId="0" applyFont="1" applyFill="1" applyBorder="1" applyAlignment="1">
      <alignment horizontal="left"/>
    </xf>
    <xf numFmtId="0" fontId="83" fillId="39" borderId="98" xfId="0" applyFont="1" applyFill="1" applyBorder="1" applyAlignment="1">
      <alignment/>
    </xf>
    <xf numFmtId="0" fontId="82" fillId="39" borderId="0" xfId="0" applyFont="1" applyFill="1" applyBorder="1" applyAlignment="1">
      <alignment horizontal="right"/>
    </xf>
    <xf numFmtId="0" fontId="82" fillId="39" borderId="99" xfId="0" applyFont="1" applyFill="1" applyBorder="1" applyAlignment="1">
      <alignment horizontal="left"/>
    </xf>
    <xf numFmtId="0" fontId="83" fillId="39" borderId="100" xfId="0" applyFont="1" applyFill="1" applyBorder="1" applyAlignment="1">
      <alignment/>
    </xf>
    <xf numFmtId="0" fontId="82" fillId="39" borderId="101" xfId="0" applyFont="1" applyFill="1" applyBorder="1" applyAlignment="1">
      <alignment horizontal="right"/>
    </xf>
    <xf numFmtId="173" fontId="82" fillId="39" borderId="101" xfId="42" applyNumberFormat="1" applyFont="1" applyFill="1" applyBorder="1" applyAlignment="1">
      <alignment/>
    </xf>
    <xf numFmtId="0" fontId="82" fillId="39" borderId="102" xfId="0" applyFont="1" applyFill="1" applyBorder="1" applyAlignment="1">
      <alignment horizontal="left"/>
    </xf>
    <xf numFmtId="0" fontId="82" fillId="40" borderId="103" xfId="0" applyFont="1" applyFill="1" applyBorder="1" applyAlignment="1">
      <alignment horizontal="right"/>
    </xf>
    <xf numFmtId="0" fontId="82" fillId="40" borderId="104" xfId="0" applyFont="1" applyFill="1" applyBorder="1" applyAlignment="1">
      <alignment horizontal="right"/>
    </xf>
    <xf numFmtId="173" fontId="82" fillId="40" borderId="104" xfId="42" applyNumberFormat="1" applyFont="1" applyFill="1" applyBorder="1" applyAlignment="1">
      <alignment/>
    </xf>
    <xf numFmtId="0" fontId="83" fillId="41" borderId="104" xfId="0" applyFont="1" applyFill="1" applyBorder="1" applyAlignment="1">
      <alignment/>
    </xf>
    <xf numFmtId="0" fontId="82" fillId="41" borderId="104" xfId="0" applyFont="1" applyFill="1" applyBorder="1" applyAlignment="1">
      <alignment horizontal="right"/>
    </xf>
    <xf numFmtId="173" fontId="82" fillId="41" borderId="105" xfId="42" applyNumberFormat="1" applyFont="1" applyFill="1" applyBorder="1" applyAlignment="1">
      <alignment horizontal="left"/>
    </xf>
    <xf numFmtId="0" fontId="82" fillId="39" borderId="96" xfId="0" applyFont="1" applyFill="1" applyBorder="1" applyAlignment="1">
      <alignment horizontal="left"/>
    </xf>
    <xf numFmtId="0" fontId="82" fillId="39" borderId="0" xfId="0" applyFont="1" applyFill="1" applyBorder="1" applyAlignment="1">
      <alignment horizontal="left"/>
    </xf>
    <xf numFmtId="0" fontId="82" fillId="39" borderId="101" xfId="0" applyFont="1" applyFill="1" applyBorder="1" applyAlignment="1">
      <alignment horizontal="left"/>
    </xf>
    <xf numFmtId="171" fontId="82" fillId="39" borderId="0" xfId="42" applyNumberFormat="1" applyFont="1" applyFill="1" applyBorder="1" applyAlignment="1">
      <alignment/>
    </xf>
    <xf numFmtId="2" fontId="82" fillId="39" borderId="0" xfId="0" applyNumberFormat="1" applyFont="1" applyFill="1" applyAlignment="1">
      <alignment/>
    </xf>
    <xf numFmtId="171" fontId="1" fillId="0" borderId="0" xfId="0" applyNumberFormat="1" applyFont="1" applyAlignment="1">
      <alignment/>
    </xf>
    <xf numFmtId="171" fontId="1" fillId="0" borderId="0" xfId="42" applyNumberFormat="1" applyFont="1" applyAlignment="1">
      <alignment/>
    </xf>
    <xf numFmtId="173" fontId="34" fillId="0" borderId="0" xfId="42" applyNumberFormat="1" applyFont="1" applyAlignment="1">
      <alignment horizontal="centerContinuous"/>
    </xf>
    <xf numFmtId="173" fontId="5" fillId="0" borderId="0" xfId="42" applyNumberFormat="1" applyFont="1" applyAlignment="1">
      <alignment horizontal="center"/>
    </xf>
    <xf numFmtId="0" fontId="16" fillId="0" borderId="0" xfId="0" applyFont="1" applyAlignment="1">
      <alignment horizontal="right"/>
    </xf>
    <xf numFmtId="0" fontId="16" fillId="0" borderId="0" xfId="0" applyFont="1" applyAlignment="1">
      <alignment/>
    </xf>
    <xf numFmtId="173" fontId="16" fillId="0" borderId="0" xfId="42" applyNumberFormat="1" applyFont="1" applyAlignment="1">
      <alignment horizontal="centerContinuous"/>
    </xf>
    <xf numFmtId="0" fontId="86" fillId="0" borderId="0" xfId="0" applyFont="1" applyAlignment="1">
      <alignment horizontal="right"/>
    </xf>
    <xf numFmtId="173" fontId="86" fillId="0" borderId="0" xfId="42" applyNumberFormat="1" applyFont="1" applyAlignment="1">
      <alignment horizontal="centerContinuous"/>
    </xf>
    <xf numFmtId="0" fontId="87" fillId="0" borderId="0" xfId="0" applyFont="1" applyAlignment="1">
      <alignment horizontal="centerContinuous"/>
    </xf>
    <xf numFmtId="0" fontId="86" fillId="0" borderId="0" xfId="0" applyFont="1" applyAlignment="1">
      <alignment/>
    </xf>
    <xf numFmtId="0" fontId="88" fillId="0" borderId="0" xfId="0" applyFont="1" applyAlignment="1">
      <alignment horizontal="right"/>
    </xf>
    <xf numFmtId="173" fontId="88" fillId="0" borderId="0" xfId="42" applyNumberFormat="1" applyFont="1" applyAlignment="1">
      <alignment horizontal="centerContinuous"/>
    </xf>
    <xf numFmtId="0" fontId="89" fillId="0" borderId="0" xfId="0" applyFont="1" applyAlignment="1">
      <alignment horizontal="centerContinuous"/>
    </xf>
    <xf numFmtId="0" fontId="88" fillId="0" borderId="0" xfId="0" applyFont="1" applyAlignment="1">
      <alignment/>
    </xf>
    <xf numFmtId="0" fontId="82" fillId="42" borderId="106" xfId="0" applyFont="1" applyFill="1" applyBorder="1" applyAlignment="1">
      <alignment horizontal="center"/>
    </xf>
    <xf numFmtId="0" fontId="82" fillId="42" borderId="107" xfId="0" applyFont="1" applyFill="1" applyBorder="1" applyAlignment="1">
      <alignment horizontal="center"/>
    </xf>
    <xf numFmtId="0" fontId="82" fillId="42" borderId="108" xfId="0" applyFont="1" applyFill="1" applyBorder="1" applyAlignment="1">
      <alignment horizontal="center"/>
    </xf>
    <xf numFmtId="0" fontId="82" fillId="42" borderId="109" xfId="0" applyFont="1" applyFill="1" applyBorder="1" applyAlignment="1">
      <alignment horizontal="center"/>
    </xf>
    <xf numFmtId="173" fontId="82" fillId="42" borderId="110" xfId="42" applyNumberFormat="1" applyFont="1" applyFill="1" applyBorder="1" applyAlignment="1">
      <alignment/>
    </xf>
    <xf numFmtId="173" fontId="82" fillId="42" borderId="111" xfId="42" applyNumberFormat="1" applyFont="1" applyFill="1" applyBorder="1" applyAlignment="1">
      <alignment/>
    </xf>
    <xf numFmtId="0" fontId="82" fillId="42" borderId="0" xfId="0" applyFont="1" applyFill="1" applyAlignment="1">
      <alignment horizontal="right"/>
    </xf>
    <xf numFmtId="173" fontId="82" fillId="42" borderId="0" xfId="42" applyNumberFormat="1" applyFont="1" applyFill="1" applyAlignment="1">
      <alignment horizontal="center"/>
    </xf>
    <xf numFmtId="1" fontId="82" fillId="42" borderId="0" xfId="0" applyNumberFormat="1" applyFont="1" applyFill="1" applyAlignment="1">
      <alignment horizontal="center"/>
    </xf>
    <xf numFmtId="0" fontId="82" fillId="39" borderId="106" xfId="0" applyFont="1" applyFill="1" applyBorder="1" applyAlignment="1">
      <alignment horizontal="center"/>
    </xf>
    <xf numFmtId="173" fontId="13" fillId="0" borderId="112" xfId="42" applyNumberFormat="1" applyFont="1" applyBorder="1" applyAlignment="1">
      <alignment/>
    </xf>
    <xf numFmtId="0" fontId="82" fillId="39" borderId="113" xfId="0" applyFont="1" applyFill="1" applyBorder="1" applyAlignment="1">
      <alignment/>
    </xf>
    <xf numFmtId="0" fontId="82" fillId="39" borderId="112" xfId="0" applyFont="1" applyFill="1" applyBorder="1" applyAlignment="1">
      <alignment/>
    </xf>
    <xf numFmtId="0" fontId="82" fillId="42" borderId="113" xfId="0" applyFont="1" applyFill="1" applyBorder="1" applyAlignment="1">
      <alignment horizontal="center"/>
    </xf>
    <xf numFmtId="0" fontId="83" fillId="41" borderId="114" xfId="0" applyFont="1" applyFill="1" applyBorder="1" applyAlignment="1">
      <alignment/>
    </xf>
    <xf numFmtId="0" fontId="83" fillId="41" borderId="115" xfId="0" applyFont="1" applyFill="1" applyBorder="1" applyAlignment="1">
      <alignment/>
    </xf>
    <xf numFmtId="0" fontId="82" fillId="41" borderId="116" xfId="0" applyFont="1" applyFill="1" applyBorder="1" applyAlignment="1">
      <alignment horizontal="centerContinuous" vertical="top"/>
    </xf>
    <xf numFmtId="0" fontId="82" fillId="41" borderId="117" xfId="0" applyFont="1" applyFill="1" applyBorder="1" applyAlignment="1">
      <alignment horizontal="centerContinuous"/>
    </xf>
    <xf numFmtId="0" fontId="82" fillId="41" borderId="114" xfId="0" applyFont="1" applyFill="1" applyBorder="1" applyAlignment="1">
      <alignment horizontal="centerContinuous"/>
    </xf>
    <xf numFmtId="0" fontId="82" fillId="41" borderId="118" xfId="0" applyFont="1" applyFill="1" applyBorder="1" applyAlignment="1">
      <alignment horizontal="centerContinuous"/>
    </xf>
    <xf numFmtId="0" fontId="83" fillId="41" borderId="115" xfId="0" applyFont="1" applyFill="1" applyBorder="1" applyAlignment="1">
      <alignment horizontal="centerContinuous"/>
    </xf>
    <xf numFmtId="0" fontId="82" fillId="41" borderId="116" xfId="0" applyFont="1" applyFill="1" applyBorder="1" applyAlignment="1">
      <alignment horizontal="center"/>
    </xf>
    <xf numFmtId="0" fontId="82" fillId="41" borderId="119" xfId="0" applyFont="1" applyFill="1" applyBorder="1" applyAlignment="1">
      <alignment horizontal="center"/>
    </xf>
    <xf numFmtId="0" fontId="82" fillId="41" borderId="117" xfId="0" applyFont="1" applyFill="1" applyBorder="1" applyAlignment="1">
      <alignment horizontal="center"/>
    </xf>
    <xf numFmtId="0" fontId="82" fillId="39" borderId="76" xfId="0" applyFont="1" applyFill="1" applyBorder="1" applyAlignment="1">
      <alignment horizontal="centerContinuous"/>
    </xf>
    <xf numFmtId="0" fontId="83" fillId="39" borderId="76" xfId="0" applyFont="1" applyFill="1" applyBorder="1" applyAlignment="1">
      <alignment horizontal="centerContinuous"/>
    </xf>
    <xf numFmtId="0" fontId="72" fillId="37" borderId="76" xfId="0" applyFont="1" applyFill="1" applyBorder="1" applyAlignment="1">
      <alignment horizontal="center"/>
    </xf>
    <xf numFmtId="0" fontId="6" fillId="0" borderId="0" xfId="0" applyFont="1" applyAlignment="1">
      <alignment horizontal="centerContinuous"/>
    </xf>
    <xf numFmtId="0" fontId="82" fillId="0" borderId="0" xfId="0" applyFont="1" applyAlignment="1">
      <alignment horizontal="centerContinuous"/>
    </xf>
    <xf numFmtId="0" fontId="0" fillId="0" borderId="0" xfId="0" applyAlignment="1">
      <alignment/>
    </xf>
    <xf numFmtId="0" fontId="82" fillId="39" borderId="113" xfId="0" applyFont="1" applyFill="1" applyBorder="1" applyAlignment="1">
      <alignment horizontal="center"/>
    </xf>
    <xf numFmtId="0" fontId="82" fillId="39" borderId="120" xfId="0" applyFont="1" applyFill="1" applyBorder="1" applyAlignment="1">
      <alignment horizontal="center"/>
    </xf>
    <xf numFmtId="0" fontId="82" fillId="42" borderId="121" xfId="0" applyFont="1" applyFill="1" applyBorder="1" applyAlignment="1">
      <alignment horizontal="right"/>
    </xf>
    <xf numFmtId="0" fontId="82" fillId="42" borderId="122" xfId="0" applyFont="1" applyFill="1" applyBorder="1" applyAlignment="1">
      <alignment horizontal="right"/>
    </xf>
    <xf numFmtId="0" fontId="65" fillId="0" borderId="112" xfId="0" applyFont="1" applyBorder="1" applyAlignment="1">
      <alignment horizontal="right"/>
    </xf>
    <xf numFmtId="0" fontId="90" fillId="0" borderId="112" xfId="0" applyFont="1" applyBorder="1" applyAlignment="1">
      <alignment horizontal="right"/>
    </xf>
    <xf numFmtId="173" fontId="92" fillId="0" borderId="90" xfId="42" applyNumberFormat="1" applyFont="1" applyBorder="1" applyAlignment="1">
      <alignment/>
    </xf>
    <xf numFmtId="173" fontId="92" fillId="0" borderId="0" xfId="42" applyNumberFormat="1" applyFont="1" applyBorder="1" applyAlignment="1">
      <alignment/>
    </xf>
    <xf numFmtId="173" fontId="92" fillId="0" borderId="91" xfId="42" applyNumberFormat="1" applyFont="1" applyBorder="1" applyAlignment="1">
      <alignment/>
    </xf>
    <xf numFmtId="173" fontId="0" fillId="0" borderId="116" xfId="42" applyNumberFormat="1" applyFont="1" applyBorder="1" applyAlignment="1">
      <alignment/>
    </xf>
    <xf numFmtId="173" fontId="0" fillId="0" borderId="119" xfId="42" applyNumberFormat="1" applyFont="1" applyBorder="1" applyAlignment="1">
      <alignment/>
    </xf>
    <xf numFmtId="173" fontId="0" fillId="0" borderId="117" xfId="42" applyNumberFormat="1" applyFont="1" applyBorder="1" applyAlignment="1">
      <alignment/>
    </xf>
    <xf numFmtId="173" fontId="13" fillId="0" borderId="120" xfId="42" applyNumberFormat="1" applyFont="1" applyBorder="1" applyAlignment="1">
      <alignment/>
    </xf>
    <xf numFmtId="173" fontId="92" fillId="0" borderId="116" xfId="42" applyNumberFormat="1" applyFont="1" applyBorder="1" applyAlignment="1">
      <alignment/>
    </xf>
    <xf numFmtId="173" fontId="92" fillId="0" borderId="119" xfId="42" applyNumberFormat="1" applyFont="1" applyBorder="1" applyAlignment="1">
      <alignment/>
    </xf>
    <xf numFmtId="173" fontId="92" fillId="0" borderId="117" xfId="42" applyNumberFormat="1" applyFont="1" applyBorder="1" applyAlignment="1">
      <alignment/>
    </xf>
    <xf numFmtId="0" fontId="93" fillId="39" borderId="0" xfId="0" applyFont="1" applyFill="1" applyAlignment="1">
      <alignment horizontal="right"/>
    </xf>
    <xf numFmtId="1" fontId="93" fillId="39" borderId="0" xfId="0" applyNumberFormat="1" applyFont="1" applyFill="1" applyAlignment="1">
      <alignment horizontal="center"/>
    </xf>
    <xf numFmtId="0" fontId="72" fillId="0" borderId="0" xfId="0" applyFont="1" applyAlignment="1">
      <alignment horizontal="left"/>
    </xf>
    <xf numFmtId="0" fontId="94" fillId="0" borderId="0" xfId="0" applyFont="1" applyAlignment="1">
      <alignment horizontal="centerContinuous" vertical="center"/>
    </xf>
    <xf numFmtId="0" fontId="82" fillId="41" borderId="115" xfId="0" applyFont="1" applyFill="1" applyBorder="1" applyAlignment="1">
      <alignment horizontal="centerContinuous"/>
    </xf>
    <xf numFmtId="173" fontId="6" fillId="0" borderId="91" xfId="42" applyNumberFormat="1" applyFont="1" applyBorder="1" applyAlignment="1">
      <alignment horizontal="center"/>
    </xf>
    <xf numFmtId="173" fontId="6" fillId="0" borderId="93" xfId="42" applyNumberFormat="1" applyFont="1" applyBorder="1" applyAlignment="1">
      <alignment horizontal="center"/>
    </xf>
    <xf numFmtId="0" fontId="5" fillId="35" borderId="114" xfId="0" applyFont="1" applyFill="1" applyBorder="1" applyAlignment="1">
      <alignment horizontal="centerContinuous"/>
    </xf>
    <xf numFmtId="0" fontId="95" fillId="33" borderId="117" xfId="0" applyFont="1" applyFill="1" applyBorder="1" applyAlignment="1">
      <alignment horizontal="centerContinuous"/>
    </xf>
    <xf numFmtId="0" fontId="82" fillId="39" borderId="114" xfId="0" applyFont="1" applyFill="1" applyBorder="1" applyAlignment="1">
      <alignment horizontal="centerContinuous"/>
    </xf>
    <xf numFmtId="0" fontId="83" fillId="39" borderId="115" xfId="0" applyFont="1" applyFill="1" applyBorder="1" applyAlignment="1">
      <alignment horizontal="centerContinuous"/>
    </xf>
    <xf numFmtId="0" fontId="82" fillId="39" borderId="116" xfId="0" applyFont="1" applyFill="1" applyBorder="1" applyAlignment="1">
      <alignment horizontal="centerContinuous"/>
    </xf>
    <xf numFmtId="0" fontId="83" fillId="39" borderId="117" xfId="0" applyFont="1" applyFill="1" applyBorder="1" applyAlignment="1">
      <alignment horizontal="centerContinuous"/>
    </xf>
    <xf numFmtId="0" fontId="5" fillId="35" borderId="92" xfId="0" applyFont="1" applyFill="1" applyBorder="1" applyAlignment="1">
      <alignment/>
    </xf>
    <xf numFmtId="0" fontId="4" fillId="35" borderId="115" xfId="0" applyFont="1" applyFill="1" applyBorder="1" applyAlignment="1">
      <alignment/>
    </xf>
    <xf numFmtId="0" fontId="4" fillId="35" borderId="93" xfId="0" applyFont="1" applyFill="1" applyBorder="1" applyAlignment="1">
      <alignment/>
    </xf>
    <xf numFmtId="0" fontId="0" fillId="0" borderId="91" xfId="0" applyBorder="1" applyAlignment="1">
      <alignment/>
    </xf>
    <xf numFmtId="0" fontId="4" fillId="35" borderId="115" xfId="0" applyFont="1" applyFill="1" applyBorder="1" applyAlignment="1">
      <alignment horizontal="centerContinuous"/>
    </xf>
    <xf numFmtId="0" fontId="5" fillId="35" borderId="92" xfId="0" applyFont="1" applyFill="1" applyBorder="1" applyAlignment="1">
      <alignment horizontal="centerContinuous"/>
    </xf>
    <xf numFmtId="0" fontId="4" fillId="35" borderId="93" xfId="0" applyFont="1" applyFill="1" applyBorder="1" applyAlignment="1">
      <alignment horizontal="centerContinuous"/>
    </xf>
    <xf numFmtId="0" fontId="83" fillId="42" borderId="109" xfId="0" applyFont="1" applyFill="1" applyBorder="1" applyAlignment="1">
      <alignment/>
    </xf>
    <xf numFmtId="0" fontId="82" fillId="42" borderId="107" xfId="0" applyFont="1" applyFill="1" applyBorder="1" applyAlignment="1">
      <alignment/>
    </xf>
    <xf numFmtId="173" fontId="0" fillId="35" borderId="90" xfId="42" applyNumberFormat="1" applyFont="1" applyFill="1" applyBorder="1" applyAlignment="1">
      <alignment/>
    </xf>
    <xf numFmtId="173" fontId="0" fillId="35" borderId="0" xfId="42" applyNumberFormat="1" applyFont="1" applyFill="1" applyBorder="1" applyAlignment="1">
      <alignment/>
    </xf>
    <xf numFmtId="173" fontId="0" fillId="35" borderId="91" xfId="42" applyNumberFormat="1" applyFont="1" applyFill="1" applyBorder="1" applyAlignment="1">
      <alignment/>
    </xf>
    <xf numFmtId="173" fontId="13" fillId="35" borderId="112" xfId="42" applyNumberFormat="1" applyFont="1" applyFill="1" applyBorder="1" applyAlignment="1">
      <alignment/>
    </xf>
    <xf numFmtId="0" fontId="90" fillId="0" borderId="123" xfId="0" applyFont="1" applyBorder="1" applyAlignment="1">
      <alignment horizontal="right"/>
    </xf>
    <xf numFmtId="0" fontId="96" fillId="0" borderId="91" xfId="0" applyFont="1" applyBorder="1" applyAlignment="1">
      <alignment/>
    </xf>
    <xf numFmtId="0" fontId="96" fillId="33" borderId="117" xfId="0" applyFont="1" applyFill="1" applyBorder="1" applyAlignment="1">
      <alignment horizontal="centerContinuous"/>
    </xf>
    <xf numFmtId="0" fontId="65" fillId="0" borderId="91" xfId="0" applyFont="1" applyBorder="1" applyAlignment="1">
      <alignment horizontal="right"/>
    </xf>
    <xf numFmtId="0" fontId="65" fillId="0" borderId="117" xfId="0" applyFont="1" applyBorder="1" applyAlignment="1">
      <alignment horizontal="right"/>
    </xf>
    <xf numFmtId="0" fontId="65" fillId="35" borderId="93" xfId="0" applyFont="1" applyFill="1" applyBorder="1" applyAlignment="1">
      <alignment horizontal="right"/>
    </xf>
    <xf numFmtId="0" fontId="0" fillId="42" borderId="107" xfId="0" applyFill="1" applyBorder="1" applyAlignment="1">
      <alignment/>
    </xf>
    <xf numFmtId="0" fontId="0" fillId="0" borderId="116" xfId="0" applyBorder="1" applyAlignment="1">
      <alignment/>
    </xf>
    <xf numFmtId="0" fontId="0" fillId="35" borderId="92" xfId="0" applyFill="1" applyBorder="1" applyAlignment="1">
      <alignment/>
    </xf>
    <xf numFmtId="0" fontId="84" fillId="0" borderId="0" xfId="0" applyFont="1" applyAlignment="1">
      <alignment/>
    </xf>
    <xf numFmtId="0" fontId="97" fillId="0" borderId="0" xfId="0" applyFont="1" applyAlignment="1">
      <alignment horizontal="right"/>
    </xf>
    <xf numFmtId="0" fontId="98" fillId="0" borderId="0" xfId="0" applyFont="1" applyAlignment="1">
      <alignment/>
    </xf>
    <xf numFmtId="173" fontId="96" fillId="0" borderId="90" xfId="42" applyNumberFormat="1" applyFont="1" applyBorder="1" applyAlignment="1">
      <alignment/>
    </xf>
    <xf numFmtId="173" fontId="96" fillId="0" borderId="0" xfId="42" applyNumberFormat="1" applyFont="1" applyBorder="1" applyAlignment="1">
      <alignment/>
    </xf>
    <xf numFmtId="173" fontId="96" fillId="0" borderId="91" xfId="42" applyNumberFormat="1" applyFont="1" applyBorder="1" applyAlignment="1">
      <alignment/>
    </xf>
    <xf numFmtId="173" fontId="72" fillId="0" borderId="112" xfId="42" applyNumberFormat="1" applyFont="1" applyBorder="1" applyAlignment="1">
      <alignment/>
    </xf>
    <xf numFmtId="0" fontId="99" fillId="39" borderId="0" xfId="0" applyFont="1" applyFill="1" applyAlignment="1">
      <alignment horizontal="right"/>
    </xf>
    <xf numFmtId="0" fontId="96" fillId="0" borderId="90" xfId="0" applyFont="1" applyBorder="1" applyAlignment="1">
      <alignment/>
    </xf>
    <xf numFmtId="0" fontId="90" fillId="0" borderId="91" xfId="0" applyFont="1" applyBorder="1" applyAlignment="1">
      <alignment horizontal="right"/>
    </xf>
    <xf numFmtId="0" fontId="96" fillId="0" borderId="116" xfId="0" applyFont="1" applyBorder="1" applyAlignment="1">
      <alignment/>
    </xf>
    <xf numFmtId="0" fontId="90" fillId="0" borderId="117" xfId="0" applyFont="1" applyBorder="1" applyAlignment="1">
      <alignment horizontal="right"/>
    </xf>
    <xf numFmtId="1" fontId="82" fillId="39" borderId="0" xfId="0" applyNumberFormat="1" applyFont="1" applyFill="1" applyAlignment="1">
      <alignment horizontal="center"/>
    </xf>
    <xf numFmtId="0" fontId="5" fillId="33" borderId="124" xfId="0" applyFont="1" applyFill="1" applyBorder="1" applyAlignment="1" applyProtection="1">
      <alignment horizontal="center"/>
      <protection locked="0"/>
    </xf>
    <xf numFmtId="0" fontId="5" fillId="33" borderId="125" xfId="0" applyFont="1" applyFill="1" applyBorder="1" applyAlignment="1" applyProtection="1">
      <alignment horizontal="center"/>
      <protection locked="0"/>
    </xf>
    <xf numFmtId="0" fontId="0" fillId="0" borderId="0" xfId="0" applyAlignment="1" applyProtection="1">
      <alignment/>
      <protection locked="0"/>
    </xf>
    <xf numFmtId="0" fontId="1" fillId="33" borderId="126" xfId="0" applyFont="1" applyFill="1" applyBorder="1" applyAlignment="1" applyProtection="1">
      <alignment horizontal="center"/>
      <protection locked="0"/>
    </xf>
    <xf numFmtId="0" fontId="1" fillId="33" borderId="127" xfId="0" applyFont="1" applyFill="1" applyBorder="1" applyAlignment="1" applyProtection="1">
      <alignment horizontal="center"/>
      <protection locked="0"/>
    </xf>
    <xf numFmtId="0" fontId="6" fillId="33" borderId="10" xfId="0" applyFont="1" applyFill="1" applyBorder="1" applyAlignment="1" applyProtection="1">
      <alignment horizontal="center"/>
      <protection locked="0"/>
    </xf>
    <xf numFmtId="0" fontId="6" fillId="33" borderId="128" xfId="0" applyFont="1" applyFill="1" applyBorder="1" applyAlignment="1" applyProtection="1">
      <alignment horizontal="center"/>
      <protection locked="0"/>
    </xf>
    <xf numFmtId="0" fontId="18" fillId="33" borderId="10" xfId="0" applyFont="1" applyFill="1" applyBorder="1" applyAlignment="1" applyProtection="1">
      <alignment horizontal="center"/>
      <protection locked="0"/>
    </xf>
    <xf numFmtId="0" fontId="18" fillId="33" borderId="128" xfId="0" applyFont="1" applyFill="1" applyBorder="1" applyAlignment="1" applyProtection="1">
      <alignment horizontal="center"/>
      <protection locked="0"/>
    </xf>
    <xf numFmtId="0" fontId="19" fillId="33" borderId="10" xfId="0" applyFont="1" applyFill="1" applyBorder="1" applyAlignment="1" applyProtection="1">
      <alignment horizontal="center"/>
      <protection locked="0"/>
    </xf>
    <xf numFmtId="0" fontId="19" fillId="33" borderId="128" xfId="0" applyFont="1" applyFill="1" applyBorder="1" applyAlignment="1" applyProtection="1">
      <alignment horizontal="center"/>
      <protection locked="0"/>
    </xf>
    <xf numFmtId="0" fontId="12" fillId="33" borderId="10" xfId="0" applyFont="1" applyFill="1" applyBorder="1" applyAlignment="1" applyProtection="1">
      <alignment horizontal="center"/>
      <protection locked="0"/>
    </xf>
    <xf numFmtId="0" fontId="12" fillId="33" borderId="128" xfId="0" applyFont="1" applyFill="1" applyBorder="1" applyAlignment="1" applyProtection="1">
      <alignment horizontal="center"/>
      <protection locked="0"/>
    </xf>
    <xf numFmtId="0" fontId="13" fillId="33" borderId="10" xfId="0" applyFont="1" applyFill="1" applyBorder="1" applyAlignment="1" applyProtection="1">
      <alignment horizontal="center"/>
      <protection locked="0"/>
    </xf>
    <xf numFmtId="0" fontId="13" fillId="33" borderId="128" xfId="0" applyFont="1" applyFill="1" applyBorder="1" applyAlignment="1" applyProtection="1">
      <alignment horizontal="center"/>
      <protection locked="0"/>
    </xf>
    <xf numFmtId="0" fontId="15" fillId="33" borderId="10" xfId="0" applyFont="1" applyFill="1" applyBorder="1" applyAlignment="1" applyProtection="1">
      <alignment horizontal="center"/>
      <protection locked="0"/>
    </xf>
    <xf numFmtId="0" fontId="15" fillId="33" borderId="128" xfId="0" applyFont="1" applyFill="1" applyBorder="1" applyAlignment="1" applyProtection="1">
      <alignment horizontal="center"/>
      <protection locked="0"/>
    </xf>
    <xf numFmtId="0" fontId="5" fillId="33" borderId="129" xfId="0" applyFont="1" applyFill="1" applyBorder="1" applyAlignment="1" applyProtection="1">
      <alignment horizontal="center"/>
      <protection locked="0"/>
    </xf>
    <xf numFmtId="0" fontId="5" fillId="33" borderId="130"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9" fillId="33" borderId="131" xfId="0" applyFont="1" applyFill="1" applyBorder="1" applyAlignment="1" applyProtection="1">
      <alignment horizontal="center"/>
      <protection locked="0"/>
    </xf>
    <xf numFmtId="0" fontId="9" fillId="33" borderId="132" xfId="0"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0" fontId="10" fillId="33" borderId="133" xfId="0" applyFont="1" applyFill="1" applyBorder="1" applyAlignment="1" applyProtection="1">
      <alignment horizontal="center"/>
      <protection locked="0"/>
    </xf>
    <xf numFmtId="0" fontId="11" fillId="33" borderId="10" xfId="0" applyFont="1" applyFill="1" applyBorder="1" applyAlignment="1" applyProtection="1">
      <alignment horizontal="center"/>
      <protection locked="0"/>
    </xf>
    <xf numFmtId="0" fontId="11" fillId="33" borderId="133" xfId="0" applyFont="1" applyFill="1" applyBorder="1" applyAlignment="1" applyProtection="1">
      <alignment horizontal="center"/>
      <protection locked="0"/>
    </xf>
    <xf numFmtId="0" fontId="17" fillId="33" borderId="134" xfId="0" applyFont="1" applyFill="1" applyBorder="1" applyAlignment="1" applyProtection="1">
      <alignment horizontal="center"/>
      <protection locked="0"/>
    </xf>
    <xf numFmtId="0" fontId="17" fillId="33" borderId="135" xfId="0" applyFont="1" applyFill="1" applyBorder="1" applyAlignment="1" applyProtection="1">
      <alignment horizontal="center"/>
      <protection locked="0"/>
    </xf>
    <xf numFmtId="0" fontId="1" fillId="33" borderId="136" xfId="0" applyFont="1" applyFill="1" applyBorder="1" applyAlignment="1" applyProtection="1">
      <alignment horizontal="center"/>
      <protection locked="0"/>
    </xf>
    <xf numFmtId="0" fontId="1" fillId="33" borderId="137" xfId="0" applyFont="1" applyFill="1" applyBorder="1" applyAlignment="1" applyProtection="1">
      <alignment horizontal="center"/>
      <protection locked="0"/>
    </xf>
    <xf numFmtId="0" fontId="6" fillId="33" borderId="138" xfId="0" applyFont="1" applyFill="1" applyBorder="1" applyAlignment="1" applyProtection="1">
      <alignment horizontal="center"/>
      <protection locked="0"/>
    </xf>
    <xf numFmtId="0" fontId="18" fillId="33" borderId="138" xfId="0" applyFont="1" applyFill="1" applyBorder="1" applyAlignment="1" applyProtection="1">
      <alignment horizontal="center"/>
      <protection locked="0"/>
    </xf>
    <xf numFmtId="0" fontId="19" fillId="33" borderId="138" xfId="0" applyFont="1" applyFill="1" applyBorder="1" applyAlignment="1" applyProtection="1">
      <alignment horizontal="center"/>
      <protection locked="0"/>
    </xf>
    <xf numFmtId="0" fontId="12" fillId="33" borderId="138" xfId="0" applyFont="1" applyFill="1" applyBorder="1" applyAlignment="1" applyProtection="1">
      <alignment horizontal="center"/>
      <protection locked="0"/>
    </xf>
    <xf numFmtId="0" fontId="13" fillId="33" borderId="138" xfId="0" applyFont="1" applyFill="1" applyBorder="1" applyAlignment="1" applyProtection="1">
      <alignment horizontal="center"/>
      <protection locked="0"/>
    </xf>
    <xf numFmtId="0" fontId="15" fillId="33" borderId="138" xfId="0" applyFont="1" applyFill="1" applyBorder="1" applyAlignment="1" applyProtection="1">
      <alignment horizontal="center"/>
      <protection locked="0"/>
    </xf>
    <xf numFmtId="0" fontId="5" fillId="33" borderId="139" xfId="0" applyFont="1" applyFill="1" applyBorder="1" applyAlignment="1" applyProtection="1">
      <alignment horizontal="center"/>
      <protection locked="0"/>
    </xf>
    <xf numFmtId="0" fontId="5" fillId="33" borderId="140" xfId="0" applyFont="1" applyFill="1" applyBorder="1" applyAlignment="1" applyProtection="1">
      <alignment horizontal="center"/>
      <protection locked="0"/>
    </xf>
    <xf numFmtId="0" fontId="1" fillId="33" borderId="141" xfId="0" applyFont="1" applyFill="1" applyBorder="1" applyAlignment="1" applyProtection="1">
      <alignment horizontal="center"/>
      <protection locked="0"/>
    </xf>
    <xf numFmtId="0" fontId="1" fillId="33" borderId="142" xfId="0" applyFont="1" applyFill="1" applyBorder="1" applyAlignment="1" applyProtection="1">
      <alignment horizontal="center"/>
      <protection locked="0"/>
    </xf>
    <xf numFmtId="0" fontId="6" fillId="33" borderId="143" xfId="0" applyFont="1" applyFill="1" applyBorder="1" applyAlignment="1" applyProtection="1">
      <alignment horizontal="center"/>
      <protection locked="0"/>
    </xf>
    <xf numFmtId="0" fontId="18" fillId="33" borderId="143" xfId="0" applyFont="1" applyFill="1" applyBorder="1" applyAlignment="1" applyProtection="1">
      <alignment horizontal="center"/>
      <protection locked="0"/>
    </xf>
    <xf numFmtId="0" fontId="19" fillId="33" borderId="143" xfId="0" applyFont="1" applyFill="1" applyBorder="1" applyAlignment="1" applyProtection="1">
      <alignment horizontal="center"/>
      <protection locked="0"/>
    </xf>
    <xf numFmtId="0" fontId="5" fillId="33" borderId="144" xfId="0" applyFont="1" applyFill="1" applyBorder="1" applyAlignment="1" applyProtection="1">
      <alignment horizontal="center"/>
      <protection locked="0"/>
    </xf>
    <xf numFmtId="0" fontId="5" fillId="33" borderId="145" xfId="0" applyFont="1" applyFill="1" applyBorder="1" applyAlignment="1" applyProtection="1">
      <alignment horizontal="center"/>
      <protection locked="0"/>
    </xf>
    <xf numFmtId="0" fontId="1" fillId="33" borderId="146" xfId="0" applyFont="1" applyFill="1" applyBorder="1" applyAlignment="1" applyProtection="1">
      <alignment horizontal="center"/>
      <protection locked="0"/>
    </xf>
    <xf numFmtId="0" fontId="1" fillId="33" borderId="147" xfId="0" applyFont="1" applyFill="1" applyBorder="1" applyAlignment="1" applyProtection="1">
      <alignment horizontal="center"/>
      <protection locked="0"/>
    </xf>
    <xf numFmtId="0" fontId="6" fillId="33" borderId="148" xfId="0" applyFont="1" applyFill="1" applyBorder="1" applyAlignment="1" applyProtection="1">
      <alignment horizontal="center"/>
      <protection locked="0"/>
    </xf>
    <xf numFmtId="0" fontId="18" fillId="33" borderId="148" xfId="0" applyFont="1" applyFill="1" applyBorder="1" applyAlignment="1" applyProtection="1">
      <alignment horizontal="center"/>
      <protection locked="0"/>
    </xf>
    <xf numFmtId="0" fontId="19" fillId="33" borderId="148" xfId="0" applyFont="1" applyFill="1" applyBorder="1" applyAlignment="1" applyProtection="1">
      <alignment horizontal="center"/>
      <protection locked="0"/>
    </xf>
    <xf numFmtId="0" fontId="5" fillId="33" borderId="149" xfId="0" applyFont="1" applyFill="1" applyBorder="1" applyAlignment="1" applyProtection="1">
      <alignment horizontal="center"/>
      <protection locked="0"/>
    </xf>
    <xf numFmtId="0" fontId="5" fillId="33" borderId="150" xfId="0" applyFont="1" applyFill="1" applyBorder="1" applyAlignment="1" applyProtection="1">
      <alignment horizontal="center"/>
      <protection locked="0"/>
    </xf>
    <xf numFmtId="0" fontId="63" fillId="33" borderId="10" xfId="0" applyFont="1" applyFill="1" applyBorder="1" applyAlignment="1" applyProtection="1">
      <alignment horizontal="center"/>
      <protection locked="0"/>
    </xf>
    <xf numFmtId="0" fontId="63" fillId="33" borderId="151" xfId="0" applyFont="1" applyFill="1" applyBorder="1" applyAlignment="1" applyProtection="1">
      <alignment horizontal="center"/>
      <protection locked="0"/>
    </xf>
    <xf numFmtId="173" fontId="55" fillId="33" borderId="152" xfId="42" applyNumberFormat="1" applyFont="1" applyFill="1" applyBorder="1" applyAlignment="1" applyProtection="1">
      <alignment/>
      <protection locked="0"/>
    </xf>
    <xf numFmtId="173" fontId="65" fillId="33" borderId="152" xfId="42" applyNumberFormat="1" applyFont="1" applyFill="1" applyBorder="1" applyAlignment="1" applyProtection="1">
      <alignment/>
      <protection locked="0"/>
    </xf>
    <xf numFmtId="173" fontId="65" fillId="33" borderId="153" xfId="42" applyNumberFormat="1" applyFont="1" applyFill="1" applyBorder="1" applyAlignment="1" applyProtection="1">
      <alignment/>
      <protection locked="0"/>
    </xf>
    <xf numFmtId="173" fontId="48" fillId="0" borderId="0" xfId="42" applyNumberFormat="1" applyFont="1" applyAlignment="1" applyProtection="1">
      <alignment/>
      <protection locked="0"/>
    </xf>
    <xf numFmtId="173" fontId="54" fillId="33" borderId="153" xfId="42" applyNumberFormat="1" applyFont="1" applyFill="1" applyBorder="1" applyAlignment="1" applyProtection="1">
      <alignment/>
      <protection locked="0"/>
    </xf>
    <xf numFmtId="0" fontId="49" fillId="0" borderId="0" xfId="0" applyFont="1" applyAlignment="1" applyProtection="1">
      <alignment/>
      <protection locked="0"/>
    </xf>
    <xf numFmtId="173" fontId="55" fillId="33" borderId="154" xfId="42" applyNumberFormat="1" applyFont="1" applyFill="1" applyBorder="1" applyAlignment="1" applyProtection="1">
      <alignment horizontal="center"/>
      <protection locked="0"/>
    </xf>
    <xf numFmtId="173" fontId="7" fillId="33" borderId="152" xfId="42" applyNumberFormat="1" applyFont="1" applyFill="1" applyBorder="1" applyAlignment="1" applyProtection="1">
      <alignment horizontal="center"/>
      <protection locked="0"/>
    </xf>
    <xf numFmtId="173" fontId="7" fillId="33" borderId="154" xfId="42" applyNumberFormat="1" applyFont="1" applyFill="1" applyBorder="1" applyAlignment="1" applyProtection="1">
      <alignment/>
      <protection locked="0"/>
    </xf>
    <xf numFmtId="0" fontId="55" fillId="33" borderId="154" xfId="0" applyFont="1" applyFill="1" applyBorder="1" applyAlignment="1" applyProtection="1">
      <alignment/>
      <protection locked="0"/>
    </xf>
    <xf numFmtId="173" fontId="7" fillId="33" borderId="152" xfId="42" applyNumberFormat="1" applyFont="1" applyFill="1" applyBorder="1" applyAlignment="1" applyProtection="1">
      <alignment/>
      <protection locked="0"/>
    </xf>
    <xf numFmtId="0" fontId="7" fillId="33" borderId="154" xfId="0" applyFont="1" applyFill="1" applyBorder="1" applyAlignment="1" applyProtection="1">
      <alignment/>
      <protection locked="0"/>
    </xf>
    <xf numFmtId="173" fontId="63" fillId="0" borderId="0" xfId="42" applyNumberFormat="1" applyFont="1" applyAlignment="1" applyProtection="1">
      <alignment/>
      <protection locked="0"/>
    </xf>
    <xf numFmtId="0" fontId="49" fillId="0" borderId="0" xfId="0" applyFont="1" applyAlignment="1" applyProtection="1">
      <alignment/>
      <protection locked="0"/>
    </xf>
    <xf numFmtId="173" fontId="7" fillId="0" borderId="0" xfId="42" applyNumberFormat="1" applyFont="1" applyAlignment="1" applyProtection="1">
      <alignment/>
      <protection locked="0"/>
    </xf>
    <xf numFmtId="0" fontId="42" fillId="0" borderId="0" xfId="0" applyFont="1" applyAlignment="1" applyProtection="1">
      <alignment/>
      <protection locked="0"/>
    </xf>
    <xf numFmtId="173" fontId="53" fillId="33" borderId="152" xfId="42" applyNumberFormat="1" applyFont="1" applyFill="1" applyBorder="1" applyAlignment="1" applyProtection="1">
      <alignment/>
      <protection locked="0"/>
    </xf>
    <xf numFmtId="173" fontId="51" fillId="33" borderId="153" xfId="42" applyNumberFormat="1" applyFont="1" applyFill="1" applyBorder="1" applyAlignment="1" applyProtection="1">
      <alignment/>
      <protection locked="0"/>
    </xf>
    <xf numFmtId="0" fontId="1" fillId="33" borderId="10" xfId="0" applyFont="1" applyFill="1" applyBorder="1" applyAlignment="1" applyProtection="1">
      <alignment horizontal="center"/>
      <protection locked="0"/>
    </xf>
    <xf numFmtId="0" fontId="1" fillId="33" borderId="155" xfId="0" applyFont="1" applyFill="1" applyBorder="1" applyAlignment="1" applyProtection="1">
      <alignment horizontal="center"/>
      <protection locked="0"/>
    </xf>
    <xf numFmtId="173" fontId="65" fillId="33" borderId="155" xfId="42" applyNumberFormat="1" applyFont="1" applyFill="1" applyBorder="1" applyAlignment="1" applyProtection="1">
      <alignment horizontal="right"/>
      <protection locked="0"/>
    </xf>
    <xf numFmtId="0" fontId="1" fillId="33" borderId="153" xfId="0" applyFont="1" applyFill="1" applyBorder="1" applyAlignment="1" applyProtection="1">
      <alignment horizontal="center"/>
      <protection locked="0"/>
    </xf>
    <xf numFmtId="0" fontId="1" fillId="33" borderId="156" xfId="0" applyFont="1" applyFill="1" applyBorder="1" applyAlignment="1" applyProtection="1">
      <alignment horizontal="center"/>
      <protection locked="0"/>
    </xf>
    <xf numFmtId="0" fontId="72" fillId="33" borderId="153" xfId="0" applyFont="1" applyFill="1" applyBorder="1" applyAlignment="1" applyProtection="1">
      <alignment horizontal="center"/>
      <protection locked="0"/>
    </xf>
    <xf numFmtId="0" fontId="72" fillId="33" borderId="156" xfId="0" applyFont="1" applyFill="1" applyBorder="1" applyAlignment="1" applyProtection="1">
      <alignment horizontal="center"/>
      <protection locked="0"/>
    </xf>
    <xf numFmtId="0" fontId="72" fillId="33" borderId="116" xfId="0" applyFont="1" applyFill="1" applyBorder="1" applyAlignment="1" applyProtection="1">
      <alignment horizontal="centerContinuous"/>
      <protection locked="0"/>
    </xf>
    <xf numFmtId="0" fontId="72" fillId="33" borderId="157" xfId="0" applyFont="1" applyFill="1" applyBorder="1" applyAlignment="1" applyProtection="1">
      <alignment horizontal="centerContinuous"/>
      <protection locked="0"/>
    </xf>
    <xf numFmtId="0" fontId="36" fillId="33" borderId="157" xfId="0" applyFont="1" applyFill="1" applyBorder="1" applyAlignment="1" applyProtection="1">
      <alignment horizontal="centerContinuous"/>
      <protection locked="0"/>
    </xf>
    <xf numFmtId="0" fontId="36" fillId="33" borderId="116" xfId="0" applyFont="1" applyFill="1" applyBorder="1" applyAlignment="1" applyProtection="1">
      <alignment horizontal="centerContinuous"/>
      <protection locked="0"/>
    </xf>
    <xf numFmtId="0" fontId="5" fillId="35" borderId="114" xfId="0" applyFont="1" applyFill="1" applyBorder="1" applyAlignment="1" applyProtection="1">
      <alignment/>
      <protection locked="0"/>
    </xf>
    <xf numFmtId="171" fontId="1" fillId="33" borderId="153" xfId="42" applyFont="1" applyFill="1" applyBorder="1" applyAlignment="1" applyProtection="1">
      <alignment/>
      <protection locked="0"/>
    </xf>
    <xf numFmtId="172" fontId="1" fillId="33" borderId="153" xfId="42" applyNumberFormat="1" applyFont="1" applyFill="1" applyBorder="1" applyAlignment="1" applyProtection="1">
      <alignment horizontal="center"/>
      <protection locked="0"/>
    </xf>
    <xf numFmtId="171" fontId="84" fillId="33" borderId="153" xfId="42" applyFont="1" applyFill="1" applyBorder="1" applyAlignment="1" applyProtection="1">
      <alignment/>
      <protection locked="0"/>
    </xf>
    <xf numFmtId="172" fontId="84" fillId="33" borderId="153" xfId="42" applyNumberFormat="1" applyFont="1" applyFill="1" applyBorder="1" applyAlignment="1" applyProtection="1">
      <alignment horizontal="center"/>
      <protection locked="0"/>
    </xf>
    <xf numFmtId="171" fontId="1" fillId="33" borderId="158" xfId="42" applyFont="1" applyFill="1" applyBorder="1" applyAlignment="1" applyProtection="1">
      <alignment/>
      <protection locked="0"/>
    </xf>
    <xf numFmtId="172" fontId="1" fillId="33" borderId="158" xfId="42" applyNumberFormat="1" applyFont="1" applyFill="1" applyBorder="1" applyAlignment="1" applyProtection="1">
      <alignment horizontal="center"/>
      <protection locked="0"/>
    </xf>
    <xf numFmtId="171" fontId="1" fillId="33" borderId="156" xfId="42" applyFont="1" applyFill="1" applyBorder="1" applyAlignment="1" applyProtection="1">
      <alignment/>
      <protection locked="0"/>
    </xf>
    <xf numFmtId="172" fontId="1" fillId="33" borderId="156" xfId="42" applyNumberFormat="1" applyFont="1" applyFill="1" applyBorder="1" applyAlignment="1" applyProtection="1">
      <alignment horizontal="center"/>
      <protection locked="0"/>
    </xf>
    <xf numFmtId="0" fontId="91" fillId="0" borderId="91" xfId="0" applyFont="1" applyBorder="1" applyAlignment="1" applyProtection="1">
      <alignment horizontal="right"/>
      <protection locked="0"/>
    </xf>
    <xf numFmtId="0" fontId="91" fillId="0" borderId="117" xfId="0" applyFont="1" applyBorder="1" applyAlignment="1" applyProtection="1">
      <alignment horizontal="right"/>
      <protection locked="0"/>
    </xf>
    <xf numFmtId="0" fontId="72" fillId="0" borderId="0" xfId="0" applyFont="1" applyBorder="1" applyAlignment="1">
      <alignment horizontal="right"/>
    </xf>
    <xf numFmtId="171" fontId="72" fillId="0" borderId="0" xfId="0" applyNumberFormat="1" applyFont="1" applyBorder="1" applyAlignment="1">
      <alignment horizontal="centerContinuous"/>
    </xf>
    <xf numFmtId="0" fontId="96" fillId="0" borderId="0" xfId="0" applyFont="1" applyBorder="1" applyAlignment="1">
      <alignment horizontal="centerContinuous"/>
    </xf>
    <xf numFmtId="0" fontId="72" fillId="0" borderId="0" xfId="0" applyFont="1" applyBorder="1" applyAlignment="1">
      <alignment/>
    </xf>
    <xf numFmtId="0" fontId="72" fillId="0" borderId="62" xfId="0" applyFont="1" applyBorder="1" applyAlignment="1">
      <alignment horizontal="right"/>
    </xf>
    <xf numFmtId="171" fontId="72" fillId="0" borderId="62" xfId="0" applyNumberFormat="1" applyFont="1" applyBorder="1" applyAlignment="1">
      <alignment horizontal="centerContinuous"/>
    </xf>
    <xf numFmtId="0" fontId="96" fillId="0" borderId="62" xfId="0" applyFont="1" applyBorder="1" applyAlignment="1">
      <alignment horizontal="centerContinuous"/>
    </xf>
    <xf numFmtId="0" fontId="72" fillId="0" borderId="62" xfId="0" applyFont="1" applyBorder="1" applyAlignment="1">
      <alignment/>
    </xf>
    <xf numFmtId="0" fontId="4" fillId="0" borderId="0" xfId="0" applyFont="1" applyBorder="1" applyAlignment="1">
      <alignment/>
    </xf>
    <xf numFmtId="0" fontId="5" fillId="0" borderId="0" xfId="0" applyFont="1" applyBorder="1" applyAlignment="1">
      <alignment horizontal="right"/>
    </xf>
    <xf numFmtId="173" fontId="5" fillId="0" borderId="0" xfId="0" applyNumberFormat="1" applyFont="1" applyBorder="1" applyAlignment="1">
      <alignment horizontal="centerContinuous"/>
    </xf>
    <xf numFmtId="0" fontId="4" fillId="0" borderId="0" xfId="0" applyFont="1" applyBorder="1" applyAlignment="1">
      <alignment horizontal="centerContinuous"/>
    </xf>
    <xf numFmtId="0" fontId="5" fillId="0" borderId="0" xfId="0" applyFont="1" applyBorder="1" applyAlignment="1">
      <alignment/>
    </xf>
    <xf numFmtId="0" fontId="90" fillId="0" borderId="90" xfId="0" applyFont="1" applyBorder="1" applyAlignment="1" applyProtection="1">
      <alignment/>
      <protection locked="0"/>
    </xf>
    <xf numFmtId="0" fontId="65" fillId="0" borderId="112" xfId="0" applyFont="1" applyBorder="1" applyAlignment="1" applyProtection="1">
      <alignment/>
      <protection locked="0"/>
    </xf>
    <xf numFmtId="0" fontId="3" fillId="33" borderId="107" xfId="0" applyFont="1" applyFill="1" applyBorder="1" applyAlignment="1" applyProtection="1">
      <alignment/>
      <protection locked="0"/>
    </xf>
    <xf numFmtId="0" fontId="3" fillId="33" borderId="157" xfId="0" applyFont="1" applyFill="1" applyBorder="1" applyAlignment="1" applyProtection="1">
      <alignment/>
      <protection locked="0"/>
    </xf>
    <xf numFmtId="0" fontId="3" fillId="33" borderId="159" xfId="0" applyFont="1" applyFill="1" applyBorder="1" applyAlignment="1" applyProtection="1">
      <alignment/>
      <protection locked="0"/>
    </xf>
    <xf numFmtId="173" fontId="1" fillId="0" borderId="0" xfId="42" applyNumberFormat="1" applyFont="1" applyAlignment="1" applyProtection="1">
      <alignment/>
      <protection/>
    </xf>
    <xf numFmtId="0" fontId="3" fillId="33" borderId="109" xfId="0" applyFont="1" applyFill="1" applyBorder="1" applyAlignment="1" applyProtection="1">
      <alignment/>
      <protection locked="0"/>
    </xf>
    <xf numFmtId="0" fontId="3" fillId="33" borderId="154" xfId="0" applyFont="1" applyFill="1" applyBorder="1" applyAlignment="1" applyProtection="1">
      <alignment/>
      <protection locked="0"/>
    </xf>
    <xf numFmtId="0" fontId="3" fillId="33" borderId="160" xfId="0" applyFont="1" applyFill="1" applyBorder="1" applyAlignment="1" applyProtection="1">
      <alignment/>
      <protection locked="0"/>
    </xf>
    <xf numFmtId="171" fontId="1" fillId="0" borderId="0" xfId="42" applyFont="1" applyBorder="1" applyAlignment="1">
      <alignment horizontal="centerContinuous"/>
    </xf>
    <xf numFmtId="171" fontId="0" fillId="0" borderId="0" xfId="42" applyFont="1" applyBorder="1" applyAlignment="1">
      <alignment horizontal="centerContinuous"/>
    </xf>
    <xf numFmtId="171" fontId="0" fillId="0" borderId="70" xfId="42" applyFont="1" applyBorder="1" applyAlignment="1">
      <alignment horizontal="centerContinuous"/>
    </xf>
    <xf numFmtId="172" fontId="1" fillId="0" borderId="0" xfId="0" applyNumberFormat="1" applyFont="1" applyBorder="1" applyAlignment="1">
      <alignment horizontal="centerContinuous"/>
    </xf>
    <xf numFmtId="172" fontId="1" fillId="0" borderId="70" xfId="0" applyNumberFormat="1" applyFont="1" applyBorder="1" applyAlignment="1">
      <alignment horizontal="centerContinuous"/>
    </xf>
    <xf numFmtId="176" fontId="1" fillId="0" borderId="0" xfId="57" applyNumberFormat="1" applyFont="1" applyBorder="1" applyAlignment="1">
      <alignment/>
    </xf>
    <xf numFmtId="176" fontId="0" fillId="0" borderId="0" xfId="0" applyNumberFormat="1" applyBorder="1" applyAlignment="1">
      <alignment/>
    </xf>
    <xf numFmtId="176" fontId="1" fillId="0" borderId="0" xfId="0" applyNumberFormat="1" applyFont="1" applyBorder="1" applyAlignment="1">
      <alignment/>
    </xf>
    <xf numFmtId="0" fontId="72" fillId="0" borderId="0" xfId="0" applyFont="1" applyAlignment="1">
      <alignment horizontal="centerContinuous"/>
    </xf>
    <xf numFmtId="0" fontId="94" fillId="0" borderId="0" xfId="0" applyFont="1" applyAlignment="1">
      <alignment vertical="center"/>
    </xf>
    <xf numFmtId="0" fontId="3" fillId="0" borderId="0" xfId="0" applyFont="1" applyAlignment="1">
      <alignment horizontal="centerContinuous"/>
    </xf>
    <xf numFmtId="0" fontId="28" fillId="0" borderId="0" xfId="0" applyFont="1" applyAlignment="1">
      <alignment horizontal="center"/>
    </xf>
    <xf numFmtId="0" fontId="5" fillId="33" borderId="10" xfId="0" applyFont="1" applyFill="1" applyBorder="1" applyAlignment="1" applyProtection="1">
      <alignment horizontal="center"/>
      <protection locked="0"/>
    </xf>
    <xf numFmtId="0" fontId="10" fillId="35" borderId="20" xfId="0" applyFont="1" applyFill="1" applyBorder="1" applyAlignment="1">
      <alignment/>
    </xf>
    <xf numFmtId="0" fontId="10" fillId="33" borderId="134" xfId="0" applyFont="1" applyFill="1" applyBorder="1" applyAlignment="1" applyProtection="1">
      <alignment horizontal="center"/>
      <protection locked="0"/>
    </xf>
    <xf numFmtId="0" fontId="10" fillId="33" borderId="135" xfId="0" applyFont="1" applyFill="1" applyBorder="1" applyAlignment="1" applyProtection="1">
      <alignment horizontal="center"/>
      <protection locked="0"/>
    </xf>
    <xf numFmtId="0" fontId="10" fillId="34" borderId="20" xfId="0" applyFont="1" applyFill="1" applyBorder="1" applyAlignment="1">
      <alignment/>
    </xf>
    <xf numFmtId="0" fontId="10" fillId="33" borderId="161" xfId="0" applyFont="1" applyFill="1" applyBorder="1" applyAlignment="1" applyProtection="1">
      <alignment horizontal="center"/>
      <protection locked="0"/>
    </xf>
    <xf numFmtId="0" fontId="10" fillId="36" borderId="20" xfId="0" applyFont="1" applyFill="1" applyBorder="1" applyAlignment="1">
      <alignment/>
    </xf>
    <xf numFmtId="0" fontId="38" fillId="0" borderId="0" xfId="0" applyFont="1" applyAlignment="1">
      <alignment horizontal="left"/>
    </xf>
    <xf numFmtId="0" fontId="101" fillId="43" borderId="162" xfId="0" applyFont="1" applyFill="1" applyBorder="1" applyAlignment="1">
      <alignment/>
    </xf>
    <xf numFmtId="0" fontId="103" fillId="43" borderId="163" xfId="0" applyFont="1" applyFill="1" applyBorder="1" applyAlignment="1">
      <alignment/>
    </xf>
    <xf numFmtId="0" fontId="100" fillId="43" borderId="163" xfId="0" applyFont="1" applyFill="1" applyBorder="1" applyAlignment="1">
      <alignment horizontal="right"/>
    </xf>
    <xf numFmtId="0" fontId="103" fillId="43" borderId="164" xfId="0" applyFont="1" applyFill="1" applyBorder="1" applyAlignment="1">
      <alignment/>
    </xf>
    <xf numFmtId="0" fontId="104" fillId="0" borderId="165" xfId="0" applyFont="1" applyBorder="1" applyAlignment="1">
      <alignment/>
    </xf>
    <xf numFmtId="0" fontId="34" fillId="0" borderId="119" xfId="0" applyFont="1" applyBorder="1" applyAlignment="1">
      <alignment/>
    </xf>
    <xf numFmtId="0" fontId="34" fillId="0" borderId="119" xfId="0" applyFont="1" applyBorder="1" applyAlignment="1">
      <alignment horizontal="right"/>
    </xf>
    <xf numFmtId="0" fontId="34" fillId="0" borderId="166" xfId="0" applyFont="1" applyBorder="1" applyAlignment="1">
      <alignment horizontal="centerContinuous"/>
    </xf>
    <xf numFmtId="0" fontId="102" fillId="0" borderId="119" xfId="0" applyFont="1" applyBorder="1" applyAlignment="1">
      <alignment horizontal="centerContinuous"/>
    </xf>
    <xf numFmtId="0" fontId="102" fillId="0" borderId="167" xfId="0" applyFont="1" applyBorder="1" applyAlignment="1">
      <alignment horizontal="centerContinuous"/>
    </xf>
    <xf numFmtId="0" fontId="105" fillId="33" borderId="168" xfId="0" applyFont="1" applyFill="1" applyBorder="1" applyAlignment="1" applyProtection="1">
      <alignment/>
      <protection locked="0"/>
    </xf>
    <xf numFmtId="0" fontId="106" fillId="33" borderId="10" xfId="0" applyFont="1" applyFill="1" applyBorder="1" applyAlignment="1" applyProtection="1">
      <alignment/>
      <protection locked="0"/>
    </xf>
    <xf numFmtId="0" fontId="106" fillId="33" borderId="10" xfId="0" applyFont="1" applyFill="1" applyBorder="1" applyAlignment="1" applyProtection="1">
      <alignment horizontal="right"/>
      <protection locked="0"/>
    </xf>
    <xf numFmtId="0" fontId="107" fillId="33" borderId="169" xfId="0" applyFont="1" applyFill="1" applyBorder="1" applyAlignment="1" applyProtection="1">
      <alignment horizontal="centerContinuous"/>
      <protection locked="0"/>
    </xf>
    <xf numFmtId="0" fontId="107" fillId="33" borderId="170" xfId="0" applyFont="1" applyFill="1" applyBorder="1" applyAlignment="1" applyProtection="1">
      <alignment horizontal="centerContinuous"/>
      <protection locked="0"/>
    </xf>
    <xf numFmtId="0" fontId="107" fillId="33" borderId="171" xfId="0" applyFont="1" applyFill="1" applyBorder="1" applyAlignment="1" applyProtection="1">
      <alignment horizontal="centerContinuous"/>
      <protection locked="0"/>
    </xf>
    <xf numFmtId="0" fontId="108" fillId="33" borderId="168" xfId="0" applyFont="1" applyFill="1" applyBorder="1" applyAlignment="1" applyProtection="1">
      <alignment/>
      <protection locked="0"/>
    </xf>
    <xf numFmtId="0" fontId="107" fillId="33" borderId="172" xfId="0" applyFont="1" applyFill="1" applyBorder="1" applyAlignment="1" applyProtection="1">
      <alignment horizontal="centerContinuous"/>
      <protection locked="0"/>
    </xf>
    <xf numFmtId="0" fontId="107" fillId="33" borderId="173" xfId="0" applyFont="1" applyFill="1" applyBorder="1" applyAlignment="1" applyProtection="1">
      <alignment horizontal="centerContinuous"/>
      <protection locked="0"/>
    </xf>
    <xf numFmtId="0" fontId="107" fillId="33" borderId="174" xfId="0" applyFont="1" applyFill="1" applyBorder="1" applyAlignment="1" applyProtection="1">
      <alignment horizontal="centerContinuous"/>
      <protection locked="0"/>
    </xf>
    <xf numFmtId="0" fontId="108" fillId="33" borderId="175" xfId="0" applyFont="1" applyFill="1" applyBorder="1" applyAlignment="1" applyProtection="1">
      <alignment/>
      <protection locked="0"/>
    </xf>
    <xf numFmtId="0" fontId="106" fillId="33" borderId="176" xfId="0" applyFont="1" applyFill="1" applyBorder="1" applyAlignment="1" applyProtection="1">
      <alignment/>
      <protection locked="0"/>
    </xf>
    <xf numFmtId="0" fontId="106" fillId="33" borderId="176" xfId="0" applyFont="1" applyFill="1" applyBorder="1" applyAlignment="1" applyProtection="1">
      <alignment horizontal="right"/>
      <protection locked="0"/>
    </xf>
    <xf numFmtId="0" fontId="107" fillId="33" borderId="177" xfId="0" applyFont="1" applyFill="1" applyBorder="1" applyAlignment="1" applyProtection="1">
      <alignment horizontal="centerContinuous"/>
      <protection locked="0"/>
    </xf>
    <xf numFmtId="0" fontId="107" fillId="33" borderId="178" xfId="0" applyFont="1" applyFill="1" applyBorder="1" applyAlignment="1" applyProtection="1">
      <alignment horizontal="centerContinuous"/>
      <protection locked="0"/>
    </xf>
    <xf numFmtId="0" fontId="107" fillId="33" borderId="179" xfId="0" applyFont="1" applyFill="1" applyBorder="1" applyAlignment="1" applyProtection="1">
      <alignment horizontal="centerContinuous"/>
      <protection locked="0"/>
    </xf>
    <xf numFmtId="0" fontId="82" fillId="42" borderId="0" xfId="0" applyFont="1" applyFill="1" applyAlignment="1">
      <alignment horizontal="centerContinuous"/>
    </xf>
    <xf numFmtId="1" fontId="82" fillId="42" borderId="0" xfId="0" applyNumberFormat="1" applyFont="1" applyFill="1" applyAlignment="1">
      <alignment horizontal="centerContinuous"/>
    </xf>
    <xf numFmtId="0" fontId="37" fillId="0" borderId="0" xfId="0" applyFont="1" applyAlignment="1">
      <alignment horizontal="centerContinuous"/>
    </xf>
    <xf numFmtId="0" fontId="10" fillId="33" borderId="128" xfId="0" applyFont="1" applyFill="1" applyBorder="1" applyAlignment="1" applyProtection="1">
      <alignment horizontal="center"/>
      <protection locked="0"/>
    </xf>
    <xf numFmtId="0" fontId="109" fillId="33" borderId="10" xfId="0" applyFont="1" applyFill="1" applyBorder="1" applyAlignment="1" applyProtection="1">
      <alignment horizontal="center"/>
      <protection locked="0"/>
    </xf>
    <xf numFmtId="0" fontId="109" fillId="33" borderId="128" xfId="0" applyFont="1" applyFill="1" applyBorder="1" applyAlignment="1" applyProtection="1">
      <alignment horizontal="center"/>
      <protection locked="0"/>
    </xf>
    <xf numFmtId="0" fontId="18" fillId="33" borderId="129" xfId="0" applyFont="1" applyFill="1" applyBorder="1" applyAlignment="1" applyProtection="1">
      <alignment horizontal="center"/>
      <protection locked="0"/>
    </xf>
    <xf numFmtId="0" fontId="18" fillId="33" borderId="130" xfId="0" applyFont="1" applyFill="1" applyBorder="1" applyAlignment="1" applyProtection="1">
      <alignment horizontal="center"/>
      <protection locked="0"/>
    </xf>
    <xf numFmtId="0" fontId="12" fillId="33" borderId="126" xfId="0" applyFont="1" applyFill="1" applyBorder="1" applyAlignment="1" applyProtection="1">
      <alignment horizontal="center"/>
      <protection locked="0"/>
    </xf>
    <xf numFmtId="0" fontId="12" fillId="33" borderId="127" xfId="0" applyFont="1" applyFill="1" applyBorder="1" applyAlignment="1" applyProtection="1">
      <alignment horizontal="center"/>
      <protection locked="0"/>
    </xf>
    <xf numFmtId="0" fontId="5" fillId="0" borderId="0" xfId="0" applyFont="1" applyAlignment="1">
      <alignment/>
    </xf>
    <xf numFmtId="0" fontId="46" fillId="0" borderId="0" xfId="0" applyFont="1" applyAlignment="1">
      <alignment/>
    </xf>
    <xf numFmtId="0" fontId="1" fillId="0" borderId="180" xfId="0" applyFont="1" applyBorder="1" applyAlignment="1">
      <alignment/>
    </xf>
    <xf numFmtId="0" fontId="1" fillId="0" borderId="181" xfId="0" applyFont="1" applyBorder="1" applyAlignment="1">
      <alignment/>
    </xf>
    <xf numFmtId="0" fontId="1" fillId="0" borderId="182" xfId="0" applyFont="1" applyBorder="1" applyAlignment="1">
      <alignment horizontal="right"/>
    </xf>
    <xf numFmtId="0" fontId="82" fillId="41" borderId="183" xfId="0" applyFont="1" applyFill="1" applyBorder="1" applyAlignment="1">
      <alignment/>
    </xf>
    <xf numFmtId="0" fontId="83" fillId="41" borderId="184" xfId="0" applyFont="1" applyFill="1" applyBorder="1" applyAlignment="1">
      <alignment/>
    </xf>
    <xf numFmtId="9" fontId="82" fillId="41" borderId="185" xfId="0" applyNumberFormat="1" applyFont="1" applyFill="1" applyBorder="1" applyAlignment="1" quotePrefix="1">
      <alignment horizontal="center"/>
    </xf>
    <xf numFmtId="0" fontId="1" fillId="0" borderId="59" xfId="0" applyFont="1" applyBorder="1" applyAlignment="1">
      <alignment/>
    </xf>
    <xf numFmtId="0" fontId="1" fillId="0" borderId="62" xfId="0" applyFont="1" applyBorder="1" applyAlignment="1">
      <alignment horizontal="right"/>
    </xf>
    <xf numFmtId="0" fontId="82" fillId="44" borderId="11" xfId="0" applyFont="1" applyFill="1" applyBorder="1" applyAlignment="1">
      <alignment/>
    </xf>
    <xf numFmtId="0" fontId="83" fillId="44" borderId="12" xfId="0" applyFont="1" applyFill="1" applyBorder="1" applyAlignment="1">
      <alignment/>
    </xf>
    <xf numFmtId="0" fontId="83" fillId="44" borderId="13" xfId="0" applyFont="1" applyFill="1" applyBorder="1" applyAlignment="1">
      <alignment/>
    </xf>
    <xf numFmtId="0" fontId="1" fillId="0" borderId="54" xfId="0" applyFont="1" applyBorder="1" applyAlignment="1">
      <alignment/>
    </xf>
    <xf numFmtId="0" fontId="1" fillId="0" borderId="56" xfId="0" applyFont="1" applyBorder="1" applyAlignment="1">
      <alignment/>
    </xf>
    <xf numFmtId="0" fontId="82" fillId="42" borderId="51" xfId="0" applyFont="1" applyFill="1" applyBorder="1" applyAlignment="1">
      <alignment/>
    </xf>
    <xf numFmtId="0" fontId="83" fillId="42" borderId="52" xfId="0" applyFont="1" applyFill="1" applyBorder="1" applyAlignment="1">
      <alignment/>
    </xf>
    <xf numFmtId="0" fontId="0" fillId="0" borderId="49" xfId="0" applyBorder="1" applyAlignment="1">
      <alignment/>
    </xf>
    <xf numFmtId="0" fontId="0" fillId="0" borderId="50" xfId="0" applyBorder="1" applyAlignment="1">
      <alignment/>
    </xf>
    <xf numFmtId="0" fontId="1" fillId="0" borderId="42" xfId="0" applyFont="1" applyBorder="1" applyAlignment="1">
      <alignment horizontal="right"/>
    </xf>
    <xf numFmtId="0" fontId="82" fillId="38" borderId="44" xfId="0" applyFont="1" applyFill="1" applyBorder="1" applyAlignment="1">
      <alignment/>
    </xf>
    <xf numFmtId="0" fontId="83" fillId="38" borderId="40" xfId="0" applyFont="1" applyFill="1" applyBorder="1" applyAlignment="1">
      <alignment/>
    </xf>
    <xf numFmtId="0" fontId="72" fillId="0" borderId="0" xfId="0" applyFont="1" applyAlignment="1">
      <alignment horizontal="center"/>
    </xf>
    <xf numFmtId="0" fontId="2" fillId="0" borderId="0" xfId="0" applyFont="1" applyAlignment="1">
      <alignment horizontal="center"/>
    </xf>
    <xf numFmtId="0" fontId="94" fillId="0" borderId="0" xfId="0" applyFont="1" applyAlignment="1">
      <alignment horizontal="center" vertical="center"/>
    </xf>
    <xf numFmtId="0" fontId="37" fillId="0" borderId="0" xfId="0" applyFont="1" applyAlignment="1">
      <alignment horizontal="center"/>
    </xf>
    <xf numFmtId="0" fontId="13" fillId="0" borderId="0" xfId="0" applyFont="1" applyAlignment="1">
      <alignment horizontal="right"/>
    </xf>
    <xf numFmtId="0" fontId="5" fillId="0" borderId="0" xfId="0" applyFont="1" applyAlignment="1">
      <alignment horizontal="right"/>
    </xf>
    <xf numFmtId="173" fontId="5" fillId="0" borderId="0" xfId="42" applyNumberFormat="1" applyFont="1" applyAlignment="1">
      <alignment/>
    </xf>
    <xf numFmtId="1" fontId="5" fillId="0" borderId="0" xfId="0" applyNumberFormat="1" applyFont="1" applyAlignment="1">
      <alignment/>
    </xf>
    <xf numFmtId="0" fontId="6" fillId="0" borderId="0" xfId="0" applyFont="1" applyAlignment="1">
      <alignment horizontal="right"/>
    </xf>
    <xf numFmtId="173" fontId="6" fillId="0" borderId="0" xfId="42" applyNumberFormat="1" applyFont="1" applyAlignment="1">
      <alignment/>
    </xf>
    <xf numFmtId="0" fontId="72" fillId="0" borderId="0" xfId="0" applyFont="1" applyAlignment="1">
      <alignment horizontal="right"/>
    </xf>
    <xf numFmtId="173" fontId="13" fillId="34" borderId="0" xfId="42" applyNumberFormat="1" applyFont="1" applyFill="1" applyAlignment="1">
      <alignment/>
    </xf>
    <xf numFmtId="173" fontId="5" fillId="33" borderId="10" xfId="42" applyNumberFormat="1" applyFont="1" applyFill="1" applyBorder="1" applyAlignment="1" applyProtection="1">
      <alignment horizontal="center"/>
      <protection locked="0"/>
    </xf>
    <xf numFmtId="173" fontId="5" fillId="33" borderId="186" xfId="42" applyNumberFormat="1" applyFont="1" applyFill="1" applyBorder="1" applyAlignment="1" applyProtection="1">
      <alignment horizontal="center"/>
      <protection locked="0"/>
    </xf>
    <xf numFmtId="173" fontId="5" fillId="33" borderId="187" xfId="42" applyNumberFormat="1" applyFont="1" applyFill="1" applyBorder="1" applyAlignment="1" applyProtection="1">
      <alignment horizontal="center"/>
      <protection locked="0"/>
    </xf>
    <xf numFmtId="173" fontId="5" fillId="33" borderId="128" xfId="42" applyNumberFormat="1" applyFont="1" applyFill="1" applyBorder="1" applyAlignment="1" applyProtection="1">
      <alignment horizontal="center"/>
      <protection locked="0"/>
    </xf>
    <xf numFmtId="173" fontId="5" fillId="33" borderId="130" xfId="42" applyNumberFormat="1" applyFont="1" applyFill="1" applyBorder="1" applyAlignment="1" applyProtection="1">
      <alignment horizontal="center"/>
      <protection locked="0"/>
    </xf>
    <xf numFmtId="173" fontId="5" fillId="33" borderId="151" xfId="42" applyNumberFormat="1" applyFont="1" applyFill="1" applyBorder="1" applyAlignment="1" applyProtection="1">
      <alignment horizontal="center"/>
      <protection locked="0"/>
    </xf>
    <xf numFmtId="173" fontId="5" fillId="33" borderId="188" xfId="42" applyNumberFormat="1" applyFont="1" applyFill="1" applyBorder="1" applyAlignment="1" applyProtection="1">
      <alignment horizontal="center"/>
      <protection locked="0"/>
    </xf>
    <xf numFmtId="173" fontId="5" fillId="33" borderId="189" xfId="42" applyNumberFormat="1" applyFont="1" applyFill="1" applyBorder="1" applyAlignment="1" applyProtection="1">
      <alignment horizontal="center"/>
      <protection locked="0"/>
    </xf>
    <xf numFmtId="173" fontId="5" fillId="33" borderId="125" xfId="42" applyNumberFormat="1" applyFont="1" applyFill="1" applyBorder="1" applyAlignment="1" applyProtection="1">
      <alignment horizontal="center"/>
      <protection locked="0"/>
    </xf>
    <xf numFmtId="0" fontId="39" fillId="0" borderId="0" xfId="0" applyFont="1" applyAlignment="1">
      <alignment horizontal="centerContinuous"/>
    </xf>
    <xf numFmtId="0" fontId="110" fillId="0" borderId="0" xfId="0" applyFont="1" applyAlignment="1">
      <alignment horizontal="centerContinuous"/>
    </xf>
    <xf numFmtId="173" fontId="19" fillId="0" borderId="0" xfId="42" applyNumberFormat="1" applyFont="1" applyAlignment="1">
      <alignment/>
    </xf>
    <xf numFmtId="1" fontId="38" fillId="0" borderId="0" xfId="0" applyNumberFormat="1" applyFont="1" applyAlignment="1">
      <alignment/>
    </xf>
    <xf numFmtId="0" fontId="0" fillId="0" borderId="0" xfId="0" applyAlignment="1" applyProtection="1">
      <alignment/>
      <protection/>
    </xf>
    <xf numFmtId="0" fontId="83" fillId="42" borderId="53" xfId="0" applyFont="1" applyFill="1" applyBorder="1" applyAlignment="1" applyProtection="1">
      <alignment/>
      <protection/>
    </xf>
    <xf numFmtId="0" fontId="83" fillId="38" borderId="41" xfId="0" applyFont="1" applyFill="1" applyBorder="1" applyAlignment="1" applyProtection="1">
      <alignment/>
      <protection/>
    </xf>
    <xf numFmtId="0" fontId="1" fillId="34" borderId="0" xfId="0" applyFont="1" applyFill="1" applyAlignment="1" applyProtection="1">
      <alignment horizontal="right"/>
      <protection/>
    </xf>
    <xf numFmtId="173" fontId="36" fillId="34" borderId="0" xfId="42" applyNumberFormat="1" applyFont="1" applyFill="1" applyAlignment="1" applyProtection="1">
      <alignment horizontal="right"/>
      <protection/>
    </xf>
    <xf numFmtId="0" fontId="3" fillId="0" borderId="11" xfId="0" applyFont="1" applyBorder="1" applyAlignment="1" applyProtection="1">
      <alignment horizontal="centerContinuous"/>
      <protection/>
    </xf>
    <xf numFmtId="0" fontId="3" fillId="0" borderId="12" xfId="0" applyFont="1" applyBorder="1" applyAlignment="1" applyProtection="1">
      <alignment horizontal="centerContinuous"/>
      <protection/>
    </xf>
    <xf numFmtId="0" fontId="5" fillId="33" borderId="14" xfId="0" applyFont="1" applyFill="1" applyBorder="1" applyAlignment="1" applyProtection="1">
      <alignment horizontal="centerContinuous"/>
      <protection/>
    </xf>
    <xf numFmtId="0" fontId="5" fillId="33" borderId="124" xfId="0" applyFont="1" applyFill="1" applyBorder="1" applyAlignment="1" applyProtection="1">
      <alignment horizontal="centerContinuous"/>
      <protection/>
    </xf>
    <xf numFmtId="0" fontId="12" fillId="34" borderId="51" xfId="0" applyFont="1" applyFill="1" applyBorder="1" applyAlignment="1" applyProtection="1">
      <alignment horizontal="centerContinuous"/>
      <protection/>
    </xf>
    <xf numFmtId="0" fontId="12" fillId="34" borderId="190" xfId="0" applyFont="1" applyFill="1" applyBorder="1" applyAlignment="1" applyProtection="1">
      <alignment horizontal="right"/>
      <protection/>
    </xf>
    <xf numFmtId="0" fontId="13" fillId="34" borderId="54" xfId="0" applyFont="1" applyFill="1" applyBorder="1" applyAlignment="1" applyProtection="1">
      <alignment horizontal="centerContinuous"/>
      <protection/>
    </xf>
    <xf numFmtId="0" fontId="13" fillId="34" borderId="191" xfId="0" applyFont="1" applyFill="1" applyBorder="1" applyAlignment="1" applyProtection="1">
      <alignment horizontal="right"/>
      <protection/>
    </xf>
    <xf numFmtId="0" fontId="15" fillId="34" borderId="54" xfId="0" applyFont="1" applyFill="1" applyBorder="1" applyAlignment="1" applyProtection="1">
      <alignment horizontal="centerContinuous"/>
      <protection/>
    </xf>
    <xf numFmtId="0" fontId="15" fillId="34" borderId="191" xfId="0" applyFont="1" applyFill="1" applyBorder="1" applyAlignment="1" applyProtection="1">
      <alignment horizontal="right"/>
      <protection/>
    </xf>
    <xf numFmtId="0" fontId="10" fillId="34" borderId="54" xfId="0" applyFont="1" applyFill="1" applyBorder="1" applyAlignment="1" applyProtection="1">
      <alignment horizontal="centerContinuous"/>
      <protection/>
    </xf>
    <xf numFmtId="0" fontId="10" fillId="34" borderId="191" xfId="0" applyFont="1" applyFill="1" applyBorder="1" applyAlignment="1" applyProtection="1">
      <alignment horizontal="right"/>
      <protection/>
    </xf>
    <xf numFmtId="0" fontId="19" fillId="34" borderId="54" xfId="0" applyFont="1" applyFill="1" applyBorder="1" applyAlignment="1" applyProtection="1">
      <alignment horizontal="centerContinuous"/>
      <protection/>
    </xf>
    <xf numFmtId="0" fontId="19" fillId="34" borderId="191" xfId="0" applyFont="1" applyFill="1" applyBorder="1" applyAlignment="1" applyProtection="1">
      <alignment horizontal="right"/>
      <protection/>
    </xf>
    <xf numFmtId="0" fontId="109" fillId="34" borderId="54" xfId="0" applyFont="1" applyFill="1" applyBorder="1" applyAlignment="1" applyProtection="1">
      <alignment horizontal="centerContinuous"/>
      <protection/>
    </xf>
    <xf numFmtId="0" fontId="109" fillId="34" borderId="191" xfId="0" applyFont="1" applyFill="1" applyBorder="1" applyAlignment="1" applyProtection="1">
      <alignment horizontal="right"/>
      <protection/>
    </xf>
    <xf numFmtId="0" fontId="18" fillId="34" borderId="56" xfId="0" applyFont="1" applyFill="1" applyBorder="1" applyAlignment="1" applyProtection="1">
      <alignment horizontal="centerContinuous"/>
      <protection/>
    </xf>
    <xf numFmtId="0" fontId="18" fillId="34" borderId="192" xfId="0" applyFont="1" applyFill="1" applyBorder="1" applyAlignment="1" applyProtection="1">
      <alignment horizontal="right"/>
      <protection/>
    </xf>
    <xf numFmtId="0" fontId="1" fillId="0" borderId="0" xfId="0" applyFont="1" applyAlignment="1" applyProtection="1">
      <alignment/>
      <protection/>
    </xf>
    <xf numFmtId="0" fontId="1" fillId="0" borderId="0" xfId="0" applyFont="1" applyAlignment="1" applyProtection="1">
      <alignment horizontal="center"/>
      <protection/>
    </xf>
    <xf numFmtId="0" fontId="9" fillId="34" borderId="18" xfId="0" applyFont="1" applyFill="1" applyBorder="1" applyAlignment="1" applyProtection="1">
      <alignment/>
      <protection/>
    </xf>
    <xf numFmtId="0" fontId="9" fillId="34" borderId="193" xfId="0" applyFont="1" applyFill="1" applyBorder="1" applyAlignment="1" applyProtection="1">
      <alignment horizontal="right"/>
      <protection/>
    </xf>
    <xf numFmtId="0" fontId="10" fillId="34" borderId="19" xfId="0" applyFont="1" applyFill="1" applyBorder="1" applyAlignment="1" applyProtection="1">
      <alignment/>
      <protection/>
    </xf>
    <xf numFmtId="0" fontId="11" fillId="34" borderId="19" xfId="0" applyFont="1" applyFill="1" applyBorder="1" applyAlignment="1" applyProtection="1">
      <alignment/>
      <protection/>
    </xf>
    <xf numFmtId="0" fontId="11" fillId="34" borderId="191" xfId="0" applyFont="1" applyFill="1" applyBorder="1" applyAlignment="1" applyProtection="1">
      <alignment horizontal="right"/>
      <protection/>
    </xf>
    <xf numFmtId="0" fontId="17" fillId="34" borderId="20" xfId="0" applyFont="1" applyFill="1" applyBorder="1" applyAlignment="1" applyProtection="1">
      <alignment/>
      <protection/>
    </xf>
    <xf numFmtId="0" fontId="17" fillId="34" borderId="194" xfId="0" applyFont="1" applyFill="1" applyBorder="1" applyAlignment="1" applyProtection="1">
      <alignment horizontal="right"/>
      <protection/>
    </xf>
    <xf numFmtId="0" fontId="46" fillId="34" borderId="0" xfId="0" applyFont="1" applyFill="1" applyAlignment="1" applyProtection="1">
      <alignment/>
      <protection/>
    </xf>
    <xf numFmtId="0" fontId="13" fillId="34" borderId="0" xfId="0" applyFont="1" applyFill="1" applyAlignment="1" applyProtection="1">
      <alignment horizontal="right"/>
      <protection/>
    </xf>
    <xf numFmtId="0" fontId="1" fillId="0" borderId="0" xfId="0" applyFont="1" applyAlignment="1" applyProtection="1">
      <alignment horizontal="right"/>
      <protection/>
    </xf>
    <xf numFmtId="0" fontId="83" fillId="0" borderId="0" xfId="0" applyFont="1" applyAlignment="1">
      <alignment/>
    </xf>
    <xf numFmtId="0" fontId="111" fillId="0" borderId="0" xfId="0" applyFont="1" applyAlignment="1">
      <alignment/>
    </xf>
    <xf numFmtId="0" fontId="63" fillId="0" borderId="0" xfId="0" applyFont="1" applyBorder="1" applyAlignment="1">
      <alignment horizontal="left"/>
    </xf>
    <xf numFmtId="0" fontId="63" fillId="0" borderId="182" xfId="0" applyFont="1" applyBorder="1" applyAlignment="1">
      <alignment horizontal="left"/>
    </xf>
    <xf numFmtId="0" fontId="82" fillId="42" borderId="51" xfId="0" applyFont="1" applyFill="1" applyBorder="1" applyAlignment="1">
      <alignment/>
    </xf>
    <xf numFmtId="0" fontId="82" fillId="42" borderId="52" xfId="0" applyFont="1" applyFill="1" applyBorder="1" applyAlignment="1">
      <alignment/>
    </xf>
    <xf numFmtId="0" fontId="82" fillId="42" borderId="53" xfId="0" applyFont="1" applyFill="1" applyBorder="1" applyAlignment="1">
      <alignment/>
    </xf>
    <xf numFmtId="0" fontId="1" fillId="0" borderId="195" xfId="0" applyFont="1" applyBorder="1" applyAlignment="1">
      <alignment horizontal="centerContinuous"/>
    </xf>
    <xf numFmtId="0" fontId="1" fillId="0" borderId="196" xfId="0" applyFont="1" applyBorder="1" applyAlignment="1">
      <alignment horizontal="centerContinuous"/>
    </xf>
    <xf numFmtId="0" fontId="63" fillId="0" borderId="49" xfId="0" applyFont="1" applyBorder="1" applyAlignment="1">
      <alignment/>
    </xf>
    <xf numFmtId="0" fontId="1" fillId="0" borderId="197" xfId="0" applyFont="1" applyBorder="1" applyAlignment="1">
      <alignment/>
    </xf>
    <xf numFmtId="173" fontId="5" fillId="33" borderId="198" xfId="42" applyNumberFormat="1" applyFont="1" applyFill="1" applyBorder="1" applyAlignment="1" applyProtection="1">
      <alignment horizontal="center"/>
      <protection locked="0"/>
    </xf>
    <xf numFmtId="0" fontId="0" fillId="0" borderId="199" xfId="0" applyBorder="1" applyAlignment="1">
      <alignment/>
    </xf>
    <xf numFmtId="0" fontId="1" fillId="0" borderId="200" xfId="0" applyFont="1" applyBorder="1" applyAlignment="1">
      <alignment horizontal="right"/>
    </xf>
    <xf numFmtId="173" fontId="5" fillId="33" borderId="201" xfId="42" applyNumberFormat="1" applyFont="1" applyFill="1" applyBorder="1" applyAlignment="1" applyProtection="1">
      <alignment horizontal="center"/>
      <protection locked="0"/>
    </xf>
    <xf numFmtId="0" fontId="83" fillId="45" borderId="202" xfId="0" applyFont="1" applyFill="1" applyBorder="1" applyAlignment="1">
      <alignment/>
    </xf>
    <xf numFmtId="0" fontId="1" fillId="0" borderId="49" xfId="0" applyFont="1" applyBorder="1" applyAlignment="1">
      <alignment/>
    </xf>
    <xf numFmtId="0" fontId="112" fillId="44" borderId="13" xfId="0" applyFont="1" applyFill="1" applyBorder="1" applyAlignment="1">
      <alignment horizontal="center"/>
    </xf>
    <xf numFmtId="0" fontId="112" fillId="38" borderId="41" xfId="0" applyFont="1" applyFill="1" applyBorder="1" applyAlignment="1" applyProtection="1">
      <alignment horizontal="center"/>
      <protection/>
    </xf>
    <xf numFmtId="0" fontId="112" fillId="42" borderId="53" xfId="0" applyFont="1" applyFill="1" applyBorder="1" applyAlignment="1" applyProtection="1">
      <alignment horizontal="center"/>
      <protection/>
    </xf>
    <xf numFmtId="0" fontId="112" fillId="45" borderId="203" xfId="0" applyFont="1" applyFill="1" applyBorder="1" applyAlignment="1">
      <alignment horizontal="center"/>
    </xf>
    <xf numFmtId="0" fontId="112" fillId="38" borderId="44" xfId="0" applyFont="1" applyFill="1" applyBorder="1" applyAlignment="1">
      <alignment/>
    </xf>
    <xf numFmtId="0" fontId="112" fillId="42" borderId="51" xfId="0" applyFont="1" applyFill="1" applyBorder="1" applyAlignment="1">
      <alignment/>
    </xf>
    <xf numFmtId="0" fontId="112" fillId="41" borderId="183" xfId="0" applyFont="1" applyFill="1" applyBorder="1" applyAlignment="1">
      <alignment/>
    </xf>
    <xf numFmtId="0" fontId="112" fillId="45" borderId="204" xfId="0" applyFont="1" applyFill="1" applyBorder="1" applyAlignment="1">
      <alignment/>
    </xf>
    <xf numFmtId="0" fontId="112" fillId="44" borderId="11" xfId="0" applyFont="1" applyFill="1" applyBorder="1" applyAlignment="1">
      <alignment/>
    </xf>
    <xf numFmtId="0" fontId="1" fillId="0" borderId="205" xfId="0" applyFont="1" applyBorder="1" applyAlignment="1">
      <alignment/>
    </xf>
    <xf numFmtId="173" fontId="5" fillId="33" borderId="206" xfId="42" applyNumberFormat="1" applyFont="1" applyFill="1" applyBorder="1" applyAlignment="1" applyProtection="1">
      <alignment horizontal="center"/>
      <protection locked="0"/>
    </xf>
    <xf numFmtId="0" fontId="0" fillId="0" borderId="207" xfId="0" applyBorder="1" applyAlignment="1">
      <alignment/>
    </xf>
    <xf numFmtId="0" fontId="1" fillId="0" borderId="178" xfId="0" applyFont="1" applyBorder="1" applyAlignment="1">
      <alignment horizontal="right"/>
    </xf>
    <xf numFmtId="173" fontId="5" fillId="33" borderId="208" xfId="42" applyNumberFormat="1" applyFont="1" applyFill="1" applyBorder="1" applyAlignment="1" applyProtection="1">
      <alignment horizontal="center"/>
      <protection locked="0"/>
    </xf>
    <xf numFmtId="0" fontId="112" fillId="43" borderId="162" xfId="0" applyFont="1" applyFill="1" applyBorder="1" applyAlignment="1">
      <alignment/>
    </xf>
    <xf numFmtId="0" fontId="83" fillId="43" borderId="163" xfId="0" applyFont="1" applyFill="1" applyBorder="1" applyAlignment="1">
      <alignment/>
    </xf>
    <xf numFmtId="0" fontId="112" fillId="43" borderId="164" xfId="0" applyFont="1" applyFill="1" applyBorder="1" applyAlignment="1">
      <alignment horizontal="center"/>
    </xf>
    <xf numFmtId="0" fontId="38" fillId="0" borderId="0" xfId="0" applyFont="1" applyAlignment="1">
      <alignment/>
    </xf>
    <xf numFmtId="0" fontId="1" fillId="0" borderId="0" xfId="0" applyFont="1" applyAlignment="1">
      <alignment/>
    </xf>
    <xf numFmtId="0" fontId="113" fillId="0" borderId="0" xfId="0" applyFont="1" applyAlignment="1">
      <alignment/>
    </xf>
    <xf numFmtId="173" fontId="63" fillId="0" borderId="0" xfId="0" applyNumberFormat="1" applyFont="1" applyAlignment="1">
      <alignment/>
    </xf>
    <xf numFmtId="173" fontId="106" fillId="37" borderId="209" xfId="42" applyNumberFormat="1" applyFont="1" applyFill="1" applyBorder="1" applyAlignment="1" applyProtection="1">
      <alignment horizontal="right"/>
      <protection/>
    </xf>
    <xf numFmtId="0" fontId="106" fillId="37" borderId="44" xfId="0" applyFont="1" applyFill="1" applyBorder="1" applyAlignment="1">
      <alignment/>
    </xf>
    <xf numFmtId="0" fontId="1" fillId="0" borderId="180" xfId="0" applyFont="1" applyBorder="1" applyAlignment="1">
      <alignment horizontal="centerContinuous"/>
    </xf>
    <xf numFmtId="0" fontId="0" fillId="0" borderId="210" xfId="0" applyBorder="1" applyAlignment="1">
      <alignment horizontal="centerContinuous"/>
    </xf>
    <xf numFmtId="173" fontId="1" fillId="0" borderId="180" xfId="0" applyNumberFormat="1" applyFont="1" applyBorder="1" applyAlignment="1">
      <alignment/>
    </xf>
    <xf numFmtId="0" fontId="1" fillId="0" borderId="210" xfId="0" applyFont="1" applyBorder="1" applyAlignment="1">
      <alignment/>
    </xf>
    <xf numFmtId="171" fontId="1" fillId="0" borderId="181" xfId="42" applyFont="1" applyBorder="1" applyAlignment="1">
      <alignment/>
    </xf>
    <xf numFmtId="0" fontId="1" fillId="0" borderId="211" xfId="0" applyFont="1" applyBorder="1" applyAlignment="1">
      <alignment/>
    </xf>
    <xf numFmtId="0" fontId="83" fillId="41" borderId="183" xfId="0" applyFont="1" applyFill="1" applyBorder="1" applyAlignment="1">
      <alignment/>
    </xf>
    <xf numFmtId="0" fontId="82" fillId="41" borderId="185" xfId="0" applyFont="1" applyFill="1" applyBorder="1" applyAlignment="1">
      <alignment horizontal="right"/>
    </xf>
    <xf numFmtId="0" fontId="83" fillId="41" borderId="180" xfId="0" applyFont="1" applyFill="1" applyBorder="1" applyAlignment="1">
      <alignment/>
    </xf>
    <xf numFmtId="0" fontId="83" fillId="41" borderId="0" xfId="0" applyFont="1" applyFill="1" applyBorder="1" applyAlignment="1">
      <alignment/>
    </xf>
    <xf numFmtId="0" fontId="82" fillId="41" borderId="210" xfId="0" applyFont="1" applyFill="1" applyBorder="1" applyAlignment="1">
      <alignment horizontal="right"/>
    </xf>
    <xf numFmtId="0" fontId="83" fillId="41" borderId="181" xfId="0" applyFont="1" applyFill="1" applyBorder="1" applyAlignment="1">
      <alignment/>
    </xf>
    <xf numFmtId="0" fontId="83" fillId="41" borderId="182" xfId="0" applyFont="1" applyFill="1" applyBorder="1" applyAlignment="1">
      <alignment/>
    </xf>
    <xf numFmtId="0" fontId="82" fillId="41" borderId="211" xfId="0" applyFont="1" applyFill="1" applyBorder="1" applyAlignment="1">
      <alignment horizontal="right"/>
    </xf>
    <xf numFmtId="0" fontId="83" fillId="40" borderId="212" xfId="0" applyFont="1" applyFill="1" applyBorder="1" applyAlignment="1">
      <alignment/>
    </xf>
    <xf numFmtId="0" fontId="83" fillId="40" borderId="38" xfId="0" applyFont="1" applyFill="1" applyBorder="1" applyAlignment="1">
      <alignment/>
    </xf>
    <xf numFmtId="0" fontId="82" fillId="40" borderId="38" xfId="0" applyFont="1" applyFill="1" applyBorder="1" applyAlignment="1">
      <alignment horizontal="right"/>
    </xf>
    <xf numFmtId="0" fontId="83" fillId="40" borderId="213" xfId="0" applyFont="1" applyFill="1" applyBorder="1" applyAlignment="1">
      <alignment/>
    </xf>
    <xf numFmtId="0" fontId="83" fillId="40" borderId="30" xfId="0" applyFont="1" applyFill="1" applyBorder="1" applyAlignment="1">
      <alignment/>
    </xf>
    <xf numFmtId="0" fontId="82" fillId="40" borderId="30" xfId="0" applyFont="1" applyFill="1" applyBorder="1" applyAlignment="1">
      <alignment horizontal="right"/>
    </xf>
    <xf numFmtId="0" fontId="42" fillId="0" borderId="214" xfId="0" applyFont="1" applyBorder="1" applyAlignment="1">
      <alignment/>
    </xf>
    <xf numFmtId="173" fontId="7" fillId="0" borderId="213" xfId="42" applyNumberFormat="1" applyFont="1" applyBorder="1" applyAlignment="1">
      <alignment/>
    </xf>
    <xf numFmtId="0" fontId="42" fillId="0" borderId="30" xfId="0" applyFont="1" applyBorder="1" applyAlignment="1">
      <alignment/>
    </xf>
    <xf numFmtId="0" fontId="42" fillId="0" borderId="215" xfId="0" applyFont="1" applyBorder="1" applyAlignment="1">
      <alignment/>
    </xf>
    <xf numFmtId="0" fontId="83" fillId="42" borderId="51" xfId="0" applyFont="1" applyFill="1" applyBorder="1" applyAlignment="1">
      <alignment/>
    </xf>
    <xf numFmtId="0" fontId="82" fillId="42" borderId="53" xfId="0" applyFont="1" applyFill="1" applyBorder="1" applyAlignment="1">
      <alignment horizontal="right"/>
    </xf>
    <xf numFmtId="0" fontId="83" fillId="42" borderId="54" xfId="0" applyFont="1" applyFill="1" applyBorder="1" applyAlignment="1">
      <alignment/>
    </xf>
    <xf numFmtId="0" fontId="83" fillId="42" borderId="0" xfId="0" applyFont="1" applyFill="1" applyBorder="1" applyAlignment="1">
      <alignment/>
    </xf>
    <xf numFmtId="0" fontId="82" fillId="42" borderId="55" xfId="0" applyFont="1" applyFill="1" applyBorder="1" applyAlignment="1">
      <alignment horizontal="right"/>
    </xf>
    <xf numFmtId="0" fontId="83" fillId="42" borderId="56" xfId="0" applyFont="1" applyFill="1" applyBorder="1" applyAlignment="1">
      <alignment/>
    </xf>
    <xf numFmtId="0" fontId="83" fillId="42" borderId="57" xfId="0" applyFont="1" applyFill="1" applyBorder="1" applyAlignment="1">
      <alignment/>
    </xf>
    <xf numFmtId="0" fontId="82" fillId="42" borderId="58" xfId="0" applyFont="1" applyFill="1" applyBorder="1" applyAlignment="1">
      <alignment horizontal="right"/>
    </xf>
    <xf numFmtId="0" fontId="46" fillId="0" borderId="53" xfId="0" applyFont="1" applyBorder="1" applyAlignment="1">
      <alignment/>
    </xf>
    <xf numFmtId="173" fontId="13" fillId="0" borderId="54" xfId="42" applyNumberFormat="1" applyFont="1" applyBorder="1" applyAlignment="1">
      <alignment/>
    </xf>
    <xf numFmtId="0" fontId="46" fillId="0" borderId="55" xfId="0" applyFont="1" applyBorder="1" applyAlignment="1">
      <alignment/>
    </xf>
    <xf numFmtId="0" fontId="13" fillId="0" borderId="56" xfId="0" applyFont="1" applyBorder="1" applyAlignment="1">
      <alignment horizontal="centerContinuous"/>
    </xf>
    <xf numFmtId="0" fontId="13" fillId="0" borderId="57" xfId="0" applyFont="1" applyBorder="1" applyAlignment="1">
      <alignment horizontal="centerContinuous"/>
    </xf>
    <xf numFmtId="0" fontId="46" fillId="0" borderId="58" xfId="0" applyFont="1" applyBorder="1" applyAlignment="1">
      <alignment/>
    </xf>
    <xf numFmtId="0" fontId="13" fillId="0" borderId="52" xfId="0" applyFont="1" applyBorder="1" applyAlignment="1">
      <alignment horizontal="left"/>
    </xf>
    <xf numFmtId="1" fontId="1" fillId="0" borderId="183" xfId="0" applyNumberFormat="1" applyFont="1" applyBorder="1" applyAlignment="1">
      <alignment horizontal="centerContinuous"/>
    </xf>
    <xf numFmtId="0" fontId="1" fillId="0" borderId="185" xfId="0" applyFont="1" applyBorder="1" applyAlignment="1">
      <alignment horizontal="centerContinuous"/>
    </xf>
    <xf numFmtId="173" fontId="7" fillId="0" borderId="212" xfId="42" applyNumberFormat="1" applyFont="1" applyBorder="1" applyAlignment="1">
      <alignment/>
    </xf>
    <xf numFmtId="0" fontId="7" fillId="0" borderId="38" xfId="0" applyFont="1" applyBorder="1" applyAlignment="1">
      <alignment/>
    </xf>
    <xf numFmtId="173" fontId="65" fillId="0" borderId="51" xfId="42" applyNumberFormat="1" applyFont="1" applyBorder="1" applyAlignment="1">
      <alignment/>
    </xf>
    <xf numFmtId="0" fontId="13" fillId="0" borderId="53" xfId="0" applyFont="1" applyBorder="1" applyAlignment="1">
      <alignment/>
    </xf>
    <xf numFmtId="173" fontId="55" fillId="0" borderId="54" xfId="42" applyNumberFormat="1" applyFont="1" applyBorder="1" applyAlignment="1">
      <alignment/>
    </xf>
    <xf numFmtId="0" fontId="13" fillId="0" borderId="55" xfId="0" applyFont="1" applyBorder="1" applyAlignment="1">
      <alignment/>
    </xf>
    <xf numFmtId="0" fontId="13" fillId="0" borderId="58" xfId="0" applyFont="1" applyBorder="1" applyAlignment="1">
      <alignment/>
    </xf>
    <xf numFmtId="0" fontId="83" fillId="44" borderId="11" xfId="0" applyFont="1" applyFill="1" applyBorder="1" applyAlignment="1">
      <alignment/>
    </xf>
    <xf numFmtId="0" fontId="82" fillId="44" borderId="13" xfId="0" applyFont="1" applyFill="1" applyBorder="1" applyAlignment="1">
      <alignment horizontal="right"/>
    </xf>
    <xf numFmtId="0" fontId="83" fillId="44" borderId="61" xfId="0" applyFont="1" applyFill="1" applyBorder="1" applyAlignment="1">
      <alignment/>
    </xf>
    <xf numFmtId="0" fontId="83" fillId="44" borderId="62" xfId="0" applyFont="1" applyFill="1" applyBorder="1" applyAlignment="1">
      <alignment/>
    </xf>
    <xf numFmtId="0" fontId="82" fillId="44" borderId="63" xfId="0" applyFont="1" applyFill="1" applyBorder="1" applyAlignment="1">
      <alignment horizontal="right"/>
    </xf>
    <xf numFmtId="173" fontId="54" fillId="0" borderId="11" xfId="42" applyNumberFormat="1" applyFont="1" applyBorder="1" applyAlignment="1">
      <alignment/>
    </xf>
    <xf numFmtId="0" fontId="5" fillId="0" borderId="13" xfId="0" applyFont="1" applyBorder="1" applyAlignment="1">
      <alignment/>
    </xf>
    <xf numFmtId="173" fontId="54" fillId="0" borderId="61" xfId="42" applyNumberFormat="1" applyFont="1" applyBorder="1" applyAlignment="1">
      <alignment/>
    </xf>
    <xf numFmtId="0" fontId="5" fillId="0" borderId="63" xfId="0" applyFont="1" applyBorder="1" applyAlignment="1">
      <alignment/>
    </xf>
    <xf numFmtId="0" fontId="0" fillId="0" borderId="216" xfId="0" applyBorder="1" applyAlignment="1">
      <alignment/>
    </xf>
    <xf numFmtId="0" fontId="0" fillId="0" borderId="217" xfId="0" applyBorder="1" applyAlignment="1">
      <alignment/>
    </xf>
    <xf numFmtId="0" fontId="0" fillId="0" borderId="218" xfId="0" applyBorder="1" applyAlignment="1">
      <alignment/>
    </xf>
    <xf numFmtId="0" fontId="0" fillId="0" borderId="219" xfId="0" applyBorder="1" applyAlignment="1">
      <alignment/>
    </xf>
    <xf numFmtId="0" fontId="83" fillId="39" borderId="18" xfId="0" applyFont="1" applyFill="1" applyBorder="1" applyAlignment="1">
      <alignment/>
    </xf>
    <xf numFmtId="0" fontId="82" fillId="39" borderId="216" xfId="0" applyFont="1" applyFill="1" applyBorder="1" applyAlignment="1">
      <alignment horizontal="right"/>
    </xf>
    <xf numFmtId="0" fontId="83" fillId="39" borderId="20" xfId="0" applyFont="1" applyFill="1" applyBorder="1" applyAlignment="1">
      <alignment/>
    </xf>
    <xf numFmtId="0" fontId="83" fillId="39" borderId="218" xfId="0" applyFont="1" applyFill="1" applyBorder="1" applyAlignment="1">
      <alignment/>
    </xf>
    <xf numFmtId="0" fontId="114" fillId="0" borderId="0" xfId="0" applyFont="1" applyAlignment="1">
      <alignment/>
    </xf>
    <xf numFmtId="173" fontId="13" fillId="0" borderId="0" xfId="42" applyNumberFormat="1" applyFont="1" applyBorder="1" applyAlignment="1">
      <alignment horizontal="left"/>
    </xf>
    <xf numFmtId="173" fontId="13" fillId="0" borderId="54" xfId="42" applyNumberFormat="1" applyFont="1" applyBorder="1" applyAlignment="1">
      <alignment horizontal="centerContinuous"/>
    </xf>
    <xf numFmtId="0" fontId="38" fillId="0" borderId="0" xfId="0" applyFont="1" applyAlignment="1">
      <alignment horizontal="centerContinuous"/>
    </xf>
    <xf numFmtId="0" fontId="39" fillId="0" borderId="0" xfId="0" applyFont="1" applyAlignment="1">
      <alignment/>
    </xf>
    <xf numFmtId="0" fontId="39" fillId="0" borderId="0" xfId="0" applyFont="1" applyAlignment="1">
      <alignment horizontal="centerContinuous"/>
    </xf>
    <xf numFmtId="0" fontId="71" fillId="0" borderId="0" xfId="0" applyFont="1" applyAlignment="1">
      <alignment horizontal="center"/>
    </xf>
    <xf numFmtId="0" fontId="71" fillId="0" borderId="0" xfId="0" applyFont="1" applyAlignment="1">
      <alignment/>
    </xf>
    <xf numFmtId="1" fontId="39" fillId="0" borderId="0" xfId="0" applyNumberFormat="1" applyFont="1" applyAlignment="1">
      <alignment/>
    </xf>
    <xf numFmtId="173" fontId="39" fillId="0" borderId="0" xfId="42" applyNumberFormat="1" applyFont="1" applyAlignment="1">
      <alignment/>
    </xf>
    <xf numFmtId="173" fontId="71" fillId="0" borderId="0" xfId="42" applyNumberFormat="1" applyFont="1" applyAlignment="1">
      <alignment/>
    </xf>
    <xf numFmtId="173" fontId="115" fillId="0" borderId="0" xfId="42" applyNumberFormat="1" applyFont="1" applyAlignment="1">
      <alignment horizontal="centerContinuous"/>
    </xf>
    <xf numFmtId="173" fontId="38" fillId="0" borderId="0" xfId="0" applyNumberFormat="1" applyFont="1" applyAlignment="1">
      <alignment/>
    </xf>
    <xf numFmtId="173" fontId="38" fillId="0" borderId="0" xfId="42" applyNumberFormat="1" applyFont="1" applyAlignment="1">
      <alignment/>
    </xf>
    <xf numFmtId="171" fontId="38" fillId="0" borderId="0" xfId="42" applyNumberFormat="1" applyFont="1" applyAlignment="1">
      <alignment/>
    </xf>
    <xf numFmtId="173" fontId="71" fillId="0" borderId="0" xfId="0" applyNumberFormat="1" applyFont="1" applyAlignment="1">
      <alignment/>
    </xf>
    <xf numFmtId="173" fontId="115" fillId="0" borderId="0" xfId="0" applyNumberFormat="1" applyFont="1" applyAlignment="1">
      <alignment/>
    </xf>
    <xf numFmtId="173" fontId="115" fillId="0" borderId="0" xfId="0" applyNumberFormat="1" applyFont="1" applyAlignment="1">
      <alignment/>
    </xf>
    <xf numFmtId="0" fontId="116" fillId="33" borderId="40" xfId="0" applyFont="1" applyFill="1" applyBorder="1" applyAlignment="1" applyProtection="1">
      <alignment/>
      <protection locked="0"/>
    </xf>
    <xf numFmtId="0" fontId="108" fillId="33" borderId="41" xfId="0" applyFont="1" applyFill="1" applyBorder="1" applyAlignment="1" applyProtection="1">
      <alignment horizontal="center"/>
      <protection locked="0"/>
    </xf>
    <xf numFmtId="0" fontId="116" fillId="33" borderId="49" xfId="0" applyFont="1" applyFill="1" applyBorder="1" applyAlignment="1" applyProtection="1">
      <alignment/>
      <protection locked="0"/>
    </xf>
    <xf numFmtId="0" fontId="116" fillId="33" borderId="0" xfId="0" applyFont="1" applyFill="1" applyBorder="1" applyAlignment="1" applyProtection="1">
      <alignment horizontal="center"/>
      <protection locked="0"/>
    </xf>
    <xf numFmtId="0" fontId="116" fillId="33" borderId="37" xfId="0" applyFont="1" applyFill="1" applyBorder="1" applyAlignment="1" applyProtection="1">
      <alignment/>
      <protection locked="0"/>
    </xf>
    <xf numFmtId="0" fontId="116" fillId="33" borderId="0" xfId="0" applyFont="1" applyFill="1" applyAlignment="1" applyProtection="1">
      <alignment horizontal="center"/>
      <protection locked="0"/>
    </xf>
    <xf numFmtId="0" fontId="116" fillId="33" borderId="0" xfId="0" applyFont="1" applyFill="1" applyAlignment="1" applyProtection="1">
      <alignment/>
      <protection locked="0"/>
    </xf>
    <xf numFmtId="171" fontId="55" fillId="0" borderId="56" xfId="42" applyNumberFormat="1" applyFont="1" applyBorder="1" applyAlignment="1">
      <alignment/>
    </xf>
    <xf numFmtId="0" fontId="0" fillId="0" borderId="19" xfId="0" applyBorder="1" applyAlignment="1">
      <alignment/>
    </xf>
    <xf numFmtId="173" fontId="1" fillId="0" borderId="220" xfId="42" applyNumberFormat="1" applyFont="1" applyBorder="1" applyAlignment="1">
      <alignment/>
    </xf>
    <xf numFmtId="0" fontId="82" fillId="39" borderId="18" xfId="0" applyFont="1" applyFill="1" applyBorder="1" applyAlignment="1">
      <alignment horizontal="centerContinuous"/>
    </xf>
    <xf numFmtId="0" fontId="82" fillId="39" borderId="216" xfId="0" applyFont="1" applyFill="1" applyBorder="1" applyAlignment="1">
      <alignment horizontal="centerContinuous"/>
    </xf>
    <xf numFmtId="0" fontId="83" fillId="39" borderId="216" xfId="0" applyFont="1" applyFill="1" applyBorder="1" applyAlignment="1">
      <alignment horizontal="centerContinuous"/>
    </xf>
    <xf numFmtId="0" fontId="83" fillId="39" borderId="217" xfId="0" applyFont="1" applyFill="1" applyBorder="1" applyAlignment="1">
      <alignment horizontal="centerContinuous"/>
    </xf>
    <xf numFmtId="173" fontId="82" fillId="39" borderId="220" xfId="42" applyNumberFormat="1" applyFont="1" applyFill="1" applyBorder="1" applyAlignment="1">
      <alignment/>
    </xf>
    <xf numFmtId="0" fontId="2" fillId="0" borderId="20" xfId="0" applyFont="1" applyBorder="1" applyAlignment="1">
      <alignment horizontal="centerContinuous"/>
    </xf>
    <xf numFmtId="0" fontId="0" fillId="0" borderId="218" xfId="0" applyBorder="1" applyAlignment="1">
      <alignment horizontal="centerContinuous"/>
    </xf>
    <xf numFmtId="0" fontId="0" fillId="0" borderId="219" xfId="0" applyBorder="1" applyAlignment="1">
      <alignment horizontal="centerContinuous"/>
    </xf>
    <xf numFmtId="18" fontId="39" fillId="0" borderId="0" xfId="0" applyNumberFormat="1" applyFont="1" applyAlignment="1">
      <alignment/>
    </xf>
    <xf numFmtId="20" fontId="39" fillId="0" borderId="0" xfId="0" applyNumberFormat="1" applyFont="1" applyAlignment="1">
      <alignment/>
    </xf>
    <xf numFmtId="0" fontId="36" fillId="0" borderId="0" xfId="0" applyFont="1" applyAlignment="1">
      <alignment/>
    </xf>
    <xf numFmtId="0" fontId="37" fillId="0" borderId="216" xfId="0" applyFont="1" applyBorder="1" applyAlignment="1">
      <alignment horizontal="left"/>
    </xf>
    <xf numFmtId="0" fontId="37" fillId="0" borderId="218" xfId="0" applyFont="1" applyBorder="1" applyAlignment="1">
      <alignment horizontal="left"/>
    </xf>
    <xf numFmtId="0" fontId="5" fillId="0" borderId="0" xfId="0" applyFont="1" applyAlignment="1">
      <alignment horizontal="center"/>
    </xf>
    <xf numFmtId="173" fontId="118" fillId="33" borderId="221" xfId="42" applyNumberFormat="1" applyFont="1" applyFill="1" applyBorder="1" applyAlignment="1" applyProtection="1">
      <alignment horizontal="left"/>
      <protection locked="0"/>
    </xf>
    <xf numFmtId="173" fontId="119" fillId="33" borderId="222" xfId="42" applyNumberFormat="1" applyFont="1" applyFill="1" applyBorder="1" applyAlignment="1" applyProtection="1">
      <alignment horizontal="center"/>
      <protection locked="0"/>
    </xf>
    <xf numFmtId="173" fontId="120" fillId="33" borderId="223" xfId="42" applyNumberFormat="1" applyFont="1" applyFill="1" applyBorder="1" applyAlignment="1" applyProtection="1">
      <alignment horizontal="right"/>
      <protection locked="0"/>
    </xf>
    <xf numFmtId="0" fontId="83" fillId="46" borderId="0" xfId="0" applyFont="1" applyFill="1" applyAlignment="1">
      <alignment/>
    </xf>
    <xf numFmtId="0" fontId="82" fillId="46" borderId="0" xfId="0" applyFont="1" applyFill="1" applyAlignment="1">
      <alignment horizontal="right"/>
    </xf>
    <xf numFmtId="0" fontId="121" fillId="46" borderId="0" xfId="0" applyFont="1" applyFill="1" applyAlignment="1">
      <alignment/>
    </xf>
    <xf numFmtId="0" fontId="42" fillId="0" borderId="212" xfId="0" applyFont="1" applyBorder="1" applyAlignment="1">
      <alignment/>
    </xf>
    <xf numFmtId="0" fontId="42" fillId="0" borderId="224" xfId="0" applyFont="1" applyBorder="1" applyAlignment="1">
      <alignment/>
    </xf>
    <xf numFmtId="0" fontId="42" fillId="0" borderId="213" xfId="0" applyFont="1" applyBorder="1" applyAlignment="1">
      <alignment/>
    </xf>
    <xf numFmtId="0" fontId="7" fillId="0" borderId="38" xfId="0" applyFont="1" applyBorder="1" applyAlignment="1">
      <alignment/>
    </xf>
    <xf numFmtId="0" fontId="7" fillId="0" borderId="214" xfId="0" applyFont="1" applyBorder="1" applyAlignment="1">
      <alignment/>
    </xf>
    <xf numFmtId="0" fontId="7" fillId="0" borderId="37" xfId="0" applyFont="1" applyBorder="1" applyAlignment="1">
      <alignment/>
    </xf>
    <xf numFmtId="1" fontId="7" fillId="0" borderId="0" xfId="0" applyNumberFormat="1" applyFont="1" applyBorder="1" applyAlignment="1">
      <alignment/>
    </xf>
    <xf numFmtId="0" fontId="7" fillId="0" borderId="215" xfId="0" applyFont="1" applyBorder="1" applyAlignment="1">
      <alignment/>
    </xf>
    <xf numFmtId="0" fontId="7" fillId="0" borderId="38" xfId="0" applyFont="1" applyBorder="1" applyAlignment="1">
      <alignment horizontal="right"/>
    </xf>
    <xf numFmtId="0" fontId="7" fillId="0" borderId="0" xfId="0" applyFont="1" applyBorder="1" applyAlignment="1">
      <alignment horizontal="right"/>
    </xf>
    <xf numFmtId="1" fontId="7" fillId="0" borderId="0" xfId="0" applyNumberFormat="1" applyFont="1" applyBorder="1" applyAlignment="1">
      <alignment horizontal="right"/>
    </xf>
    <xf numFmtId="0" fontId="7" fillId="0" borderId="30" xfId="0" applyFont="1" applyBorder="1" applyAlignment="1">
      <alignment horizontal="right"/>
    </xf>
    <xf numFmtId="0" fontId="82" fillId="40" borderId="212" xfId="0" applyFont="1" applyFill="1" applyBorder="1" applyAlignment="1">
      <alignment/>
    </xf>
    <xf numFmtId="0" fontId="82" fillId="40" borderId="38" xfId="0" applyFont="1" applyFill="1" applyBorder="1" applyAlignment="1">
      <alignment/>
    </xf>
    <xf numFmtId="0" fontId="83" fillId="40" borderId="214" xfId="0" applyFont="1" applyFill="1" applyBorder="1" applyAlignment="1">
      <alignment/>
    </xf>
    <xf numFmtId="0" fontId="123" fillId="0" borderId="225" xfId="0" applyFont="1" applyBorder="1" applyAlignment="1">
      <alignment/>
    </xf>
    <xf numFmtId="0" fontId="122" fillId="0" borderId="0" xfId="0" applyFont="1" applyBorder="1" applyAlignment="1">
      <alignment horizontal="right"/>
    </xf>
    <xf numFmtId="173" fontId="122" fillId="0" borderId="0" xfId="0" applyNumberFormat="1" applyFont="1" applyBorder="1" applyAlignment="1">
      <alignment/>
    </xf>
    <xf numFmtId="0" fontId="122" fillId="0" borderId="226" xfId="0" applyFont="1" applyBorder="1" applyAlignment="1">
      <alignment/>
    </xf>
    <xf numFmtId="1" fontId="122" fillId="0" borderId="0" xfId="0" applyNumberFormat="1" applyFont="1" applyBorder="1" applyAlignment="1">
      <alignment/>
    </xf>
    <xf numFmtId="0" fontId="122" fillId="0" borderId="225" xfId="0" applyFont="1" applyBorder="1" applyAlignment="1">
      <alignment/>
    </xf>
    <xf numFmtId="0" fontId="122" fillId="0" borderId="0" xfId="0" applyFont="1" applyBorder="1" applyAlignment="1">
      <alignment/>
    </xf>
    <xf numFmtId="0" fontId="123" fillId="0" borderId="227" xfId="0" applyFont="1" applyBorder="1" applyAlignment="1">
      <alignment/>
    </xf>
    <xf numFmtId="0" fontId="122" fillId="0" borderId="228" xfId="0" applyFont="1" applyBorder="1" applyAlignment="1">
      <alignment horizontal="right"/>
    </xf>
    <xf numFmtId="0" fontId="122" fillId="0" borderId="228" xfId="0" applyFont="1" applyBorder="1" applyAlignment="1">
      <alignment/>
    </xf>
    <xf numFmtId="0" fontId="122" fillId="0" borderId="229" xfId="0" applyFont="1" applyBorder="1" applyAlignment="1">
      <alignment/>
    </xf>
    <xf numFmtId="0" fontId="82" fillId="46" borderId="230" xfId="0" applyFont="1" applyFill="1" applyBorder="1" applyAlignment="1">
      <alignment/>
    </xf>
    <xf numFmtId="0" fontId="82" fillId="46" borderId="231" xfId="0" applyFont="1" applyFill="1" applyBorder="1" applyAlignment="1">
      <alignment/>
    </xf>
    <xf numFmtId="0" fontId="82" fillId="46" borderId="232" xfId="0" applyFont="1" applyFill="1" applyBorder="1" applyAlignment="1">
      <alignment/>
    </xf>
    <xf numFmtId="177" fontId="7" fillId="0" borderId="0" xfId="0" applyNumberFormat="1" applyFont="1" applyBorder="1" applyAlignment="1">
      <alignment/>
    </xf>
    <xf numFmtId="0" fontId="124" fillId="46" borderId="0" xfId="0" applyFont="1" applyFill="1" applyAlignment="1">
      <alignment/>
    </xf>
    <xf numFmtId="0" fontId="82" fillId="42" borderId="52" xfId="0" applyFont="1" applyFill="1" applyBorder="1" applyAlignment="1">
      <alignment/>
    </xf>
    <xf numFmtId="0" fontId="82" fillId="42" borderId="53" xfId="0" applyFont="1" applyFill="1" applyBorder="1" applyAlignment="1">
      <alignment/>
    </xf>
    <xf numFmtId="0" fontId="13" fillId="0" borderId="54" xfId="0" applyFont="1" applyBorder="1" applyAlignment="1">
      <alignment/>
    </xf>
    <xf numFmtId="0" fontId="13" fillId="0" borderId="0" xfId="0" applyFont="1" applyBorder="1" applyAlignment="1">
      <alignment horizontal="right"/>
    </xf>
    <xf numFmtId="1" fontId="13" fillId="0" borderId="0" xfId="0" applyNumberFormat="1" applyFont="1" applyBorder="1" applyAlignment="1">
      <alignment horizontal="right"/>
    </xf>
    <xf numFmtId="173" fontId="13" fillId="0" borderId="55" xfId="0" applyNumberFormat="1" applyFont="1" applyBorder="1" applyAlignment="1">
      <alignment/>
    </xf>
    <xf numFmtId="0" fontId="13" fillId="0" borderId="233" xfId="0" applyFont="1" applyBorder="1" applyAlignment="1">
      <alignment/>
    </xf>
    <xf numFmtId="0" fontId="13" fillId="0" borderId="234" xfId="0" applyFont="1" applyBorder="1" applyAlignment="1">
      <alignment horizontal="right"/>
    </xf>
    <xf numFmtId="173" fontId="13" fillId="0" borderId="235" xfId="0" applyNumberFormat="1" applyFont="1" applyBorder="1" applyAlignment="1">
      <alignment/>
    </xf>
    <xf numFmtId="0" fontId="82" fillId="46" borderId="0" xfId="0" applyFont="1" applyFill="1" applyAlignment="1">
      <alignment horizontal="center"/>
    </xf>
    <xf numFmtId="1" fontId="7" fillId="0" borderId="30" xfId="0" applyNumberFormat="1" applyFont="1" applyBorder="1" applyAlignment="1">
      <alignment/>
    </xf>
    <xf numFmtId="0" fontId="38" fillId="0" borderId="0" xfId="0" applyFont="1" applyAlignment="1">
      <alignment horizontal="right"/>
    </xf>
    <xf numFmtId="0" fontId="122" fillId="0" borderId="226" xfId="0" applyFont="1" applyBorder="1" applyAlignment="1">
      <alignment horizontal="right"/>
    </xf>
    <xf numFmtId="173" fontId="122" fillId="0" borderId="0" xfId="42" applyNumberFormat="1" applyFont="1" applyBorder="1" applyAlignment="1">
      <alignment/>
    </xf>
    <xf numFmtId="2" fontId="122" fillId="0" borderId="0" xfId="0" applyNumberFormat="1" applyFont="1" applyBorder="1" applyAlignment="1">
      <alignment/>
    </xf>
    <xf numFmtId="2" fontId="39" fillId="0" borderId="0" xfId="0" applyNumberFormat="1" applyFont="1" applyAlignment="1">
      <alignment/>
    </xf>
    <xf numFmtId="1" fontId="122" fillId="0" borderId="228" xfId="0" applyNumberFormat="1" applyFont="1" applyBorder="1" applyAlignment="1">
      <alignment/>
    </xf>
    <xf numFmtId="0" fontId="39" fillId="0" borderId="0" xfId="0" applyFont="1" applyAlignment="1">
      <alignment horizontal="center"/>
    </xf>
    <xf numFmtId="0" fontId="125" fillId="0" borderId="0" xfId="0" applyFont="1" applyAlignment="1">
      <alignment horizontal="center"/>
    </xf>
    <xf numFmtId="173" fontId="39" fillId="0" borderId="0" xfId="0" applyNumberFormat="1" applyFont="1" applyAlignment="1">
      <alignment/>
    </xf>
    <xf numFmtId="177" fontId="39" fillId="0" borderId="0" xfId="0" applyNumberFormat="1" applyFont="1" applyAlignment="1">
      <alignment/>
    </xf>
    <xf numFmtId="173" fontId="126" fillId="0" borderId="0" xfId="42" applyNumberFormat="1" applyFont="1" applyAlignment="1">
      <alignment/>
    </xf>
    <xf numFmtId="1" fontId="38" fillId="0" borderId="0" xfId="0" applyNumberFormat="1" applyFont="1" applyAlignment="1">
      <alignment/>
    </xf>
    <xf numFmtId="177" fontId="38" fillId="0" borderId="0" xfId="0" applyNumberFormat="1" applyFont="1" applyAlignment="1">
      <alignment/>
    </xf>
    <xf numFmtId="173" fontId="127" fillId="0" borderId="0" xfId="0" applyNumberFormat="1" applyFont="1" applyAlignment="1">
      <alignment/>
    </xf>
    <xf numFmtId="172" fontId="38" fillId="0" borderId="0" xfId="42" applyNumberFormat="1" applyFont="1" applyAlignment="1">
      <alignment/>
    </xf>
    <xf numFmtId="171" fontId="122" fillId="0" borderId="0" xfId="42" applyFont="1" applyBorder="1" applyAlignment="1">
      <alignment/>
    </xf>
    <xf numFmtId="0" fontId="39" fillId="37" borderId="76" xfId="0" applyFont="1" applyFill="1" applyBorder="1" applyAlignment="1">
      <alignment/>
    </xf>
    <xf numFmtId="0" fontId="38" fillId="37" borderId="76" xfId="0" applyFont="1" applyFill="1" applyBorder="1" applyAlignment="1">
      <alignment horizontal="center"/>
    </xf>
    <xf numFmtId="0" fontId="38" fillId="37" borderId="76" xfId="0" applyFont="1" applyFill="1" applyBorder="1" applyAlignment="1">
      <alignment horizontal="centerContinuous"/>
    </xf>
    <xf numFmtId="0" fontId="39" fillId="37" borderId="76" xfId="0" applyFont="1" applyFill="1" applyBorder="1" applyAlignment="1">
      <alignment horizontal="centerContinuous"/>
    </xf>
    <xf numFmtId="0" fontId="38" fillId="37" borderId="76" xfId="0" applyFont="1" applyFill="1" applyBorder="1" applyAlignment="1">
      <alignment horizontal="centerContinuous" vertical="top"/>
    </xf>
    <xf numFmtId="0" fontId="38" fillId="37" borderId="76" xfId="0" applyFont="1" applyFill="1" applyBorder="1" applyAlignment="1">
      <alignment horizontal="right"/>
    </xf>
    <xf numFmtId="0" fontId="38" fillId="37" borderId="76" xfId="0" applyFont="1" applyFill="1" applyBorder="1" applyAlignment="1" applyProtection="1">
      <alignment horizontal="center"/>
      <protection locked="0"/>
    </xf>
    <xf numFmtId="173" fontId="39" fillId="37" borderId="76" xfId="42" applyNumberFormat="1" applyFont="1" applyFill="1" applyBorder="1" applyAlignment="1">
      <alignment horizontal="center"/>
    </xf>
    <xf numFmtId="173" fontId="38" fillId="37" borderId="76" xfId="42" applyNumberFormat="1" applyFont="1" applyFill="1" applyBorder="1" applyAlignment="1">
      <alignment horizontal="center"/>
    </xf>
    <xf numFmtId="0" fontId="1" fillId="0" borderId="0" xfId="0" applyFont="1" applyBorder="1" applyAlignment="1" applyProtection="1">
      <alignment horizontal="right"/>
      <protection/>
    </xf>
    <xf numFmtId="0" fontId="0" fillId="0" borderId="49" xfId="0" applyBorder="1" applyAlignment="1" applyProtection="1">
      <alignment/>
      <protection/>
    </xf>
    <xf numFmtId="0" fontId="0" fillId="0" borderId="50" xfId="0" applyBorder="1" applyAlignment="1" applyProtection="1">
      <alignment/>
      <protection/>
    </xf>
    <xf numFmtId="0" fontId="1" fillId="0" borderId="42" xfId="0" applyFont="1" applyBorder="1" applyAlignment="1" applyProtection="1">
      <alignment horizontal="right"/>
      <protection/>
    </xf>
    <xf numFmtId="0" fontId="1" fillId="0" borderId="49" xfId="0" applyFont="1" applyBorder="1" applyAlignment="1" applyProtection="1">
      <alignment/>
      <protection/>
    </xf>
    <xf numFmtId="173" fontId="64" fillId="37" borderId="209" xfId="42" applyNumberFormat="1" applyFont="1" applyFill="1" applyBorder="1" applyAlignment="1" applyProtection="1">
      <alignment horizontal="center"/>
      <protection/>
    </xf>
    <xf numFmtId="171" fontId="5" fillId="33" borderId="188" xfId="42" applyNumberFormat="1" applyFont="1" applyFill="1" applyBorder="1" applyAlignment="1" applyProtection="1">
      <alignment horizontal="center"/>
      <protection locked="0"/>
    </xf>
    <xf numFmtId="173" fontId="128" fillId="0" borderId="0" xfId="0" applyNumberFormat="1" applyFont="1" applyBorder="1" applyAlignment="1">
      <alignment horizontal="left"/>
    </xf>
    <xf numFmtId="173" fontId="64" fillId="37" borderId="236" xfId="42" applyNumberFormat="1"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11</xdr:row>
      <xdr:rowOff>0</xdr:rowOff>
    </xdr:from>
    <xdr:to>
      <xdr:col>13</xdr:col>
      <xdr:colOff>0</xdr:colOff>
      <xdr:row>13</xdr:row>
      <xdr:rowOff>152400</xdr:rowOff>
    </xdr:to>
    <xdr:sp>
      <xdr:nvSpPr>
        <xdr:cNvPr id="1" name="Line 1"/>
        <xdr:cNvSpPr>
          <a:spLocks/>
        </xdr:cNvSpPr>
      </xdr:nvSpPr>
      <xdr:spPr>
        <a:xfrm flipH="1">
          <a:off x="6057900" y="2143125"/>
          <a:ext cx="1028700" cy="55245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12</xdr:row>
      <xdr:rowOff>200025</xdr:rowOff>
    </xdr:from>
    <xdr:to>
      <xdr:col>12</xdr:col>
      <xdr:colOff>523875</xdr:colOff>
      <xdr:row>15</xdr:row>
      <xdr:rowOff>142875</xdr:rowOff>
    </xdr:to>
    <xdr:sp>
      <xdr:nvSpPr>
        <xdr:cNvPr id="2" name="Line 2"/>
        <xdr:cNvSpPr>
          <a:spLocks/>
        </xdr:cNvSpPr>
      </xdr:nvSpPr>
      <xdr:spPr>
        <a:xfrm flipH="1">
          <a:off x="6048375" y="2505075"/>
          <a:ext cx="1009650" cy="523875"/>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15</xdr:row>
      <xdr:rowOff>0</xdr:rowOff>
    </xdr:from>
    <xdr:to>
      <xdr:col>13</xdr:col>
      <xdr:colOff>0</xdr:colOff>
      <xdr:row>24</xdr:row>
      <xdr:rowOff>142875</xdr:rowOff>
    </xdr:to>
    <xdr:sp>
      <xdr:nvSpPr>
        <xdr:cNvPr id="3" name="Line 3"/>
        <xdr:cNvSpPr>
          <a:spLocks/>
        </xdr:cNvSpPr>
      </xdr:nvSpPr>
      <xdr:spPr>
        <a:xfrm flipH="1">
          <a:off x="6048375" y="2886075"/>
          <a:ext cx="1038225" cy="1638300"/>
        </a:xfrm>
        <a:prstGeom prst="line">
          <a:avLst/>
        </a:prstGeom>
        <a:noFill/>
        <a:ln w="17145" cmpd="sng">
          <a:solidFill>
            <a:srgbClr val="8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150</xdr:row>
      <xdr:rowOff>19050</xdr:rowOff>
    </xdr:from>
    <xdr:to>
      <xdr:col>2</xdr:col>
      <xdr:colOff>495300</xdr:colOff>
      <xdr:row>154</xdr:row>
      <xdr:rowOff>0</xdr:rowOff>
    </xdr:to>
    <xdr:sp>
      <xdr:nvSpPr>
        <xdr:cNvPr id="4" name="Line 7"/>
        <xdr:cNvSpPr>
          <a:spLocks/>
        </xdr:cNvSpPr>
      </xdr:nvSpPr>
      <xdr:spPr>
        <a:xfrm flipH="1">
          <a:off x="542925" y="26250900"/>
          <a:ext cx="1333500" cy="638175"/>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151</xdr:row>
      <xdr:rowOff>28575</xdr:rowOff>
    </xdr:from>
    <xdr:to>
      <xdr:col>4</xdr:col>
      <xdr:colOff>85725</xdr:colOff>
      <xdr:row>153</xdr:row>
      <xdr:rowOff>0</xdr:rowOff>
    </xdr:to>
    <xdr:sp>
      <xdr:nvSpPr>
        <xdr:cNvPr id="5" name="Line 8"/>
        <xdr:cNvSpPr>
          <a:spLocks/>
        </xdr:cNvSpPr>
      </xdr:nvSpPr>
      <xdr:spPr>
        <a:xfrm flipH="1">
          <a:off x="2057400" y="26422350"/>
          <a:ext cx="438150" cy="295275"/>
        </a:xfrm>
        <a:prstGeom prst="line">
          <a:avLst/>
        </a:prstGeom>
        <a:noFill/>
        <a:ln w="17145" cmpd="sng">
          <a:solidFill>
            <a:srgbClr val="8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151</xdr:row>
      <xdr:rowOff>19050</xdr:rowOff>
    </xdr:from>
    <xdr:to>
      <xdr:col>5</xdr:col>
      <xdr:colOff>400050</xdr:colOff>
      <xdr:row>152</xdr:row>
      <xdr:rowOff>152400</xdr:rowOff>
    </xdr:to>
    <xdr:sp>
      <xdr:nvSpPr>
        <xdr:cNvPr id="6" name="Line 9"/>
        <xdr:cNvSpPr>
          <a:spLocks/>
        </xdr:cNvSpPr>
      </xdr:nvSpPr>
      <xdr:spPr>
        <a:xfrm flipH="1">
          <a:off x="2886075" y="26412825"/>
          <a:ext cx="438150" cy="295275"/>
        </a:xfrm>
        <a:prstGeom prst="line">
          <a:avLst/>
        </a:prstGeom>
        <a:noFill/>
        <a:ln w="17145" cmpd="sng">
          <a:solidFill>
            <a:srgbClr val="8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151</xdr:row>
      <xdr:rowOff>9525</xdr:rowOff>
    </xdr:from>
    <xdr:to>
      <xdr:col>7</xdr:col>
      <xdr:colOff>342900</xdr:colOff>
      <xdr:row>152</xdr:row>
      <xdr:rowOff>152400</xdr:rowOff>
    </xdr:to>
    <xdr:sp>
      <xdr:nvSpPr>
        <xdr:cNvPr id="7" name="Line 10"/>
        <xdr:cNvSpPr>
          <a:spLocks/>
        </xdr:cNvSpPr>
      </xdr:nvSpPr>
      <xdr:spPr>
        <a:xfrm>
          <a:off x="3848100" y="26403300"/>
          <a:ext cx="447675" cy="304800"/>
        </a:xfrm>
        <a:prstGeom prst="line">
          <a:avLst/>
        </a:prstGeom>
        <a:noFill/>
        <a:ln w="17145" cmpd="sng">
          <a:solidFill>
            <a:srgbClr val="8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151</xdr:row>
      <xdr:rowOff>19050</xdr:rowOff>
    </xdr:from>
    <xdr:to>
      <xdr:col>9</xdr:col>
      <xdr:colOff>504825</xdr:colOff>
      <xdr:row>153</xdr:row>
      <xdr:rowOff>0</xdr:rowOff>
    </xdr:to>
    <xdr:sp>
      <xdr:nvSpPr>
        <xdr:cNvPr id="8" name="Line 12"/>
        <xdr:cNvSpPr>
          <a:spLocks/>
        </xdr:cNvSpPr>
      </xdr:nvSpPr>
      <xdr:spPr>
        <a:xfrm>
          <a:off x="5029200" y="26412825"/>
          <a:ext cx="457200" cy="304800"/>
        </a:xfrm>
        <a:prstGeom prst="line">
          <a:avLst/>
        </a:prstGeom>
        <a:noFill/>
        <a:ln w="17145" cmpd="sng">
          <a:solidFill>
            <a:srgbClr val="8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134</xdr:row>
      <xdr:rowOff>38100</xdr:rowOff>
    </xdr:from>
    <xdr:to>
      <xdr:col>7</xdr:col>
      <xdr:colOff>485775</xdr:colOff>
      <xdr:row>134</xdr:row>
      <xdr:rowOff>38100</xdr:rowOff>
    </xdr:to>
    <xdr:sp>
      <xdr:nvSpPr>
        <xdr:cNvPr id="9" name="Line 13"/>
        <xdr:cNvSpPr>
          <a:spLocks/>
        </xdr:cNvSpPr>
      </xdr:nvSpPr>
      <xdr:spPr>
        <a:xfrm>
          <a:off x="3971925" y="23441025"/>
          <a:ext cx="466725"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116</xdr:row>
      <xdr:rowOff>95250</xdr:rowOff>
    </xdr:from>
    <xdr:to>
      <xdr:col>1</xdr:col>
      <xdr:colOff>504825</xdr:colOff>
      <xdr:row>118</xdr:row>
      <xdr:rowOff>0</xdr:rowOff>
    </xdr:to>
    <xdr:sp>
      <xdr:nvSpPr>
        <xdr:cNvPr id="10" name="Arc 20"/>
        <xdr:cNvSpPr>
          <a:spLocks/>
        </xdr:cNvSpPr>
      </xdr:nvSpPr>
      <xdr:spPr>
        <a:xfrm flipH="1">
          <a:off x="1114425" y="20212050"/>
          <a:ext cx="257175" cy="2286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116</xdr:row>
      <xdr:rowOff>104775</xdr:rowOff>
    </xdr:from>
    <xdr:to>
      <xdr:col>8</xdr:col>
      <xdr:colOff>247650</xdr:colOff>
      <xdr:row>118</xdr:row>
      <xdr:rowOff>0</xdr:rowOff>
    </xdr:to>
    <xdr:sp>
      <xdr:nvSpPr>
        <xdr:cNvPr id="11" name="Arc 21"/>
        <xdr:cNvSpPr>
          <a:spLocks/>
        </xdr:cNvSpPr>
      </xdr:nvSpPr>
      <xdr:spPr>
        <a:xfrm>
          <a:off x="4486275" y="20221575"/>
          <a:ext cx="228600" cy="2190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116</xdr:row>
      <xdr:rowOff>85725</xdr:rowOff>
    </xdr:from>
    <xdr:to>
      <xdr:col>2</xdr:col>
      <xdr:colOff>314325</xdr:colOff>
      <xdr:row>116</xdr:row>
      <xdr:rowOff>95250</xdr:rowOff>
    </xdr:to>
    <xdr:sp>
      <xdr:nvSpPr>
        <xdr:cNvPr id="12" name="Line 22"/>
        <xdr:cNvSpPr>
          <a:spLocks/>
        </xdr:cNvSpPr>
      </xdr:nvSpPr>
      <xdr:spPr>
        <a:xfrm>
          <a:off x="1381125" y="20202525"/>
          <a:ext cx="314325" cy="9525"/>
        </a:xfrm>
        <a:prstGeom prst="line">
          <a:avLst/>
        </a:prstGeom>
        <a:noFill/>
        <a:ln w="1714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118</xdr:row>
      <xdr:rowOff>0</xdr:rowOff>
    </xdr:from>
    <xdr:to>
      <xdr:col>8</xdr:col>
      <xdr:colOff>247650</xdr:colOff>
      <xdr:row>119</xdr:row>
      <xdr:rowOff>0</xdr:rowOff>
    </xdr:to>
    <xdr:sp>
      <xdr:nvSpPr>
        <xdr:cNvPr id="13" name="Line 24"/>
        <xdr:cNvSpPr>
          <a:spLocks/>
        </xdr:cNvSpPr>
      </xdr:nvSpPr>
      <xdr:spPr>
        <a:xfrm flipH="1">
          <a:off x="4714875" y="20440650"/>
          <a:ext cx="0" cy="171450"/>
        </a:xfrm>
        <a:prstGeom prst="line">
          <a:avLst/>
        </a:prstGeom>
        <a:noFill/>
        <a:ln w="1714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129</xdr:row>
      <xdr:rowOff>171450</xdr:rowOff>
    </xdr:from>
    <xdr:to>
      <xdr:col>6</xdr:col>
      <xdr:colOff>257175</xdr:colOff>
      <xdr:row>131</xdr:row>
      <xdr:rowOff>0</xdr:rowOff>
    </xdr:to>
    <xdr:sp>
      <xdr:nvSpPr>
        <xdr:cNvPr id="14" name="Arc 25"/>
        <xdr:cNvSpPr>
          <a:spLocks/>
        </xdr:cNvSpPr>
      </xdr:nvSpPr>
      <xdr:spPr>
        <a:xfrm>
          <a:off x="3476625" y="22602825"/>
          <a:ext cx="219075" cy="2857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131</xdr:row>
      <xdr:rowOff>9525</xdr:rowOff>
    </xdr:from>
    <xdr:to>
      <xdr:col>6</xdr:col>
      <xdr:colOff>257175</xdr:colOff>
      <xdr:row>132</xdr:row>
      <xdr:rowOff>161925</xdr:rowOff>
    </xdr:to>
    <xdr:sp>
      <xdr:nvSpPr>
        <xdr:cNvPr id="15" name="Line 26"/>
        <xdr:cNvSpPr>
          <a:spLocks/>
        </xdr:cNvSpPr>
      </xdr:nvSpPr>
      <xdr:spPr>
        <a:xfrm flipH="1">
          <a:off x="3695700" y="22898100"/>
          <a:ext cx="0" cy="323850"/>
        </a:xfrm>
        <a:prstGeom prst="line">
          <a:avLst/>
        </a:prstGeom>
        <a:no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133</xdr:row>
      <xdr:rowOff>0</xdr:rowOff>
    </xdr:from>
    <xdr:to>
      <xdr:col>7</xdr:col>
      <xdr:colOff>0</xdr:colOff>
      <xdr:row>134</xdr:row>
      <xdr:rowOff>38100</xdr:rowOff>
    </xdr:to>
    <xdr:sp>
      <xdr:nvSpPr>
        <xdr:cNvPr id="16" name="Arc 27"/>
        <xdr:cNvSpPr>
          <a:spLocks/>
        </xdr:cNvSpPr>
      </xdr:nvSpPr>
      <xdr:spPr>
        <a:xfrm flipH="1" flipV="1">
          <a:off x="3695700" y="23231475"/>
          <a:ext cx="257175" cy="2095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151</xdr:row>
      <xdr:rowOff>9525</xdr:rowOff>
    </xdr:from>
    <xdr:to>
      <xdr:col>14</xdr:col>
      <xdr:colOff>0</xdr:colOff>
      <xdr:row>152</xdr:row>
      <xdr:rowOff>152400</xdr:rowOff>
    </xdr:to>
    <xdr:sp>
      <xdr:nvSpPr>
        <xdr:cNvPr id="17" name="Line 28"/>
        <xdr:cNvSpPr>
          <a:spLocks/>
        </xdr:cNvSpPr>
      </xdr:nvSpPr>
      <xdr:spPr>
        <a:xfrm flipH="1">
          <a:off x="7115175" y="26403300"/>
          <a:ext cx="542925" cy="304800"/>
        </a:xfrm>
        <a:prstGeom prst="line">
          <a:avLst/>
        </a:prstGeom>
        <a:noFill/>
        <a:ln w="17145" cmpd="sng">
          <a:solidFill>
            <a:srgbClr val="9933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153</xdr:row>
      <xdr:rowOff>19050</xdr:rowOff>
    </xdr:from>
    <xdr:to>
      <xdr:col>11</xdr:col>
      <xdr:colOff>200025</xdr:colOff>
      <xdr:row>153</xdr:row>
      <xdr:rowOff>133350</xdr:rowOff>
    </xdr:to>
    <xdr:sp>
      <xdr:nvSpPr>
        <xdr:cNvPr id="18" name="Line 35"/>
        <xdr:cNvSpPr>
          <a:spLocks/>
        </xdr:cNvSpPr>
      </xdr:nvSpPr>
      <xdr:spPr>
        <a:xfrm flipH="1">
          <a:off x="6057900" y="26736675"/>
          <a:ext cx="152400" cy="11430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150</xdr:row>
      <xdr:rowOff>0</xdr:rowOff>
    </xdr:from>
    <xdr:to>
      <xdr:col>11</xdr:col>
      <xdr:colOff>352425</xdr:colOff>
      <xdr:row>153</xdr:row>
      <xdr:rowOff>9525</xdr:rowOff>
    </xdr:to>
    <xdr:sp>
      <xdr:nvSpPr>
        <xdr:cNvPr id="19" name="Arc 38"/>
        <xdr:cNvSpPr>
          <a:spLocks/>
        </xdr:cNvSpPr>
      </xdr:nvSpPr>
      <xdr:spPr>
        <a:xfrm flipV="1">
          <a:off x="6200775" y="26231850"/>
          <a:ext cx="161925" cy="4953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135</xdr:row>
      <xdr:rowOff>9525</xdr:rowOff>
    </xdr:from>
    <xdr:to>
      <xdr:col>11</xdr:col>
      <xdr:colOff>352425</xdr:colOff>
      <xdr:row>150</xdr:row>
      <xdr:rowOff>85725</xdr:rowOff>
    </xdr:to>
    <xdr:sp>
      <xdr:nvSpPr>
        <xdr:cNvPr id="20" name="Line 39"/>
        <xdr:cNvSpPr>
          <a:spLocks/>
        </xdr:cNvSpPr>
      </xdr:nvSpPr>
      <xdr:spPr>
        <a:xfrm>
          <a:off x="6362700" y="23583900"/>
          <a:ext cx="0" cy="2733675"/>
        </a:xfrm>
        <a:prstGeom prst="line">
          <a:avLst/>
        </a:prstGeom>
        <a:no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118</xdr:row>
      <xdr:rowOff>0</xdr:rowOff>
    </xdr:from>
    <xdr:to>
      <xdr:col>1</xdr:col>
      <xdr:colOff>257175</xdr:colOff>
      <xdr:row>118</xdr:row>
      <xdr:rowOff>161925</xdr:rowOff>
    </xdr:to>
    <xdr:sp>
      <xdr:nvSpPr>
        <xdr:cNvPr id="21" name="Line 42"/>
        <xdr:cNvSpPr>
          <a:spLocks/>
        </xdr:cNvSpPr>
      </xdr:nvSpPr>
      <xdr:spPr>
        <a:xfrm>
          <a:off x="1123950" y="20440650"/>
          <a:ext cx="0" cy="161925"/>
        </a:xfrm>
        <a:prstGeom prst="line">
          <a:avLst/>
        </a:prstGeom>
        <a:noFill/>
        <a:ln w="1714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116</xdr:row>
      <xdr:rowOff>95250</xdr:rowOff>
    </xdr:from>
    <xdr:to>
      <xdr:col>8</xdr:col>
      <xdr:colOff>0</xdr:colOff>
      <xdr:row>116</xdr:row>
      <xdr:rowOff>95250</xdr:rowOff>
    </xdr:to>
    <xdr:sp>
      <xdr:nvSpPr>
        <xdr:cNvPr id="22" name="Line 43"/>
        <xdr:cNvSpPr>
          <a:spLocks/>
        </xdr:cNvSpPr>
      </xdr:nvSpPr>
      <xdr:spPr>
        <a:xfrm>
          <a:off x="4181475" y="20212050"/>
          <a:ext cx="285750" cy="0"/>
        </a:xfrm>
        <a:prstGeom prst="line">
          <a:avLst/>
        </a:prstGeom>
        <a:noFill/>
        <a:ln w="1714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241</xdr:row>
      <xdr:rowOff>95250</xdr:rowOff>
    </xdr:from>
    <xdr:to>
      <xdr:col>5</xdr:col>
      <xdr:colOff>504825</xdr:colOff>
      <xdr:row>241</xdr:row>
      <xdr:rowOff>95250</xdr:rowOff>
    </xdr:to>
    <xdr:sp>
      <xdr:nvSpPr>
        <xdr:cNvPr id="23" name="Line 48"/>
        <xdr:cNvSpPr>
          <a:spLocks/>
        </xdr:cNvSpPr>
      </xdr:nvSpPr>
      <xdr:spPr>
        <a:xfrm>
          <a:off x="2943225" y="41881425"/>
          <a:ext cx="485775" cy="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251</xdr:row>
      <xdr:rowOff>0</xdr:rowOff>
    </xdr:from>
    <xdr:to>
      <xdr:col>9</xdr:col>
      <xdr:colOff>219075</xdr:colOff>
      <xdr:row>251</xdr:row>
      <xdr:rowOff>0</xdr:rowOff>
    </xdr:to>
    <xdr:sp>
      <xdr:nvSpPr>
        <xdr:cNvPr id="24" name="Line 50"/>
        <xdr:cNvSpPr>
          <a:spLocks/>
        </xdr:cNvSpPr>
      </xdr:nvSpPr>
      <xdr:spPr>
        <a:xfrm flipH="1">
          <a:off x="4029075" y="43414950"/>
          <a:ext cx="1171575" cy="0"/>
        </a:xfrm>
        <a:prstGeom prst="line">
          <a:avLst/>
        </a:prstGeom>
        <a:noFill/>
        <a:ln w="17145"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249</xdr:row>
      <xdr:rowOff>0</xdr:rowOff>
    </xdr:from>
    <xdr:to>
      <xdr:col>10</xdr:col>
      <xdr:colOff>0</xdr:colOff>
      <xdr:row>251</xdr:row>
      <xdr:rowOff>0</xdr:rowOff>
    </xdr:to>
    <xdr:sp>
      <xdr:nvSpPr>
        <xdr:cNvPr id="25" name="Arc 49"/>
        <xdr:cNvSpPr>
          <a:spLocks/>
        </xdr:cNvSpPr>
      </xdr:nvSpPr>
      <xdr:spPr>
        <a:xfrm flipV="1">
          <a:off x="5219700" y="43091100"/>
          <a:ext cx="276225" cy="3238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189</xdr:row>
      <xdr:rowOff>76200</xdr:rowOff>
    </xdr:from>
    <xdr:to>
      <xdr:col>8</xdr:col>
      <xdr:colOff>247650</xdr:colOff>
      <xdr:row>191</xdr:row>
      <xdr:rowOff>0</xdr:rowOff>
    </xdr:to>
    <xdr:sp>
      <xdr:nvSpPr>
        <xdr:cNvPr id="26" name="Arc 59"/>
        <xdr:cNvSpPr>
          <a:spLocks/>
        </xdr:cNvSpPr>
      </xdr:nvSpPr>
      <xdr:spPr>
        <a:xfrm>
          <a:off x="4467225" y="33004125"/>
          <a:ext cx="247650" cy="2762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191</xdr:row>
      <xdr:rowOff>0</xdr:rowOff>
    </xdr:from>
    <xdr:to>
      <xdr:col>8</xdr:col>
      <xdr:colOff>247650</xdr:colOff>
      <xdr:row>194</xdr:row>
      <xdr:rowOff>0</xdr:rowOff>
    </xdr:to>
    <xdr:sp>
      <xdr:nvSpPr>
        <xdr:cNvPr id="27" name="Line 60"/>
        <xdr:cNvSpPr>
          <a:spLocks/>
        </xdr:cNvSpPr>
      </xdr:nvSpPr>
      <xdr:spPr>
        <a:xfrm>
          <a:off x="4714875" y="33280350"/>
          <a:ext cx="0" cy="49530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196</xdr:row>
      <xdr:rowOff>0</xdr:rowOff>
    </xdr:from>
    <xdr:to>
      <xdr:col>7</xdr:col>
      <xdr:colOff>0</xdr:colOff>
      <xdr:row>196</xdr:row>
      <xdr:rowOff>0</xdr:rowOff>
    </xdr:to>
    <xdr:sp>
      <xdr:nvSpPr>
        <xdr:cNvPr id="28" name="Line 63"/>
        <xdr:cNvSpPr>
          <a:spLocks/>
        </xdr:cNvSpPr>
      </xdr:nvSpPr>
      <xdr:spPr>
        <a:xfrm flipH="1">
          <a:off x="3467100" y="34099500"/>
          <a:ext cx="485775"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196</xdr:row>
      <xdr:rowOff>0</xdr:rowOff>
    </xdr:from>
    <xdr:to>
      <xdr:col>11</xdr:col>
      <xdr:colOff>504825</xdr:colOff>
      <xdr:row>196</xdr:row>
      <xdr:rowOff>0</xdr:rowOff>
    </xdr:to>
    <xdr:sp>
      <xdr:nvSpPr>
        <xdr:cNvPr id="29" name="Line 64"/>
        <xdr:cNvSpPr>
          <a:spLocks/>
        </xdr:cNvSpPr>
      </xdr:nvSpPr>
      <xdr:spPr>
        <a:xfrm>
          <a:off x="6010275" y="34099500"/>
          <a:ext cx="504825"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143</xdr:row>
      <xdr:rowOff>0</xdr:rowOff>
    </xdr:from>
    <xdr:to>
      <xdr:col>7</xdr:col>
      <xdr:colOff>485775</xdr:colOff>
      <xdr:row>143</xdr:row>
      <xdr:rowOff>0</xdr:rowOff>
    </xdr:to>
    <xdr:sp>
      <xdr:nvSpPr>
        <xdr:cNvPr id="30" name="Line 75"/>
        <xdr:cNvSpPr>
          <a:spLocks/>
        </xdr:cNvSpPr>
      </xdr:nvSpPr>
      <xdr:spPr>
        <a:xfrm>
          <a:off x="3457575" y="25050750"/>
          <a:ext cx="981075"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142</xdr:row>
      <xdr:rowOff>161925</xdr:rowOff>
    </xdr:from>
    <xdr:to>
      <xdr:col>11</xdr:col>
      <xdr:colOff>352425</xdr:colOff>
      <xdr:row>142</xdr:row>
      <xdr:rowOff>161925</xdr:rowOff>
    </xdr:to>
    <xdr:sp>
      <xdr:nvSpPr>
        <xdr:cNvPr id="31" name="Line 76"/>
        <xdr:cNvSpPr>
          <a:spLocks/>
        </xdr:cNvSpPr>
      </xdr:nvSpPr>
      <xdr:spPr>
        <a:xfrm>
          <a:off x="6105525" y="25041225"/>
          <a:ext cx="257175" cy="0"/>
        </a:xfrm>
        <a:prstGeom prst="line">
          <a:avLst/>
        </a:prstGeom>
        <a:no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422</xdr:row>
      <xdr:rowOff>0</xdr:rowOff>
    </xdr:from>
    <xdr:to>
      <xdr:col>8</xdr:col>
      <xdr:colOff>600075</xdr:colOff>
      <xdr:row>468</xdr:row>
      <xdr:rowOff>95250</xdr:rowOff>
    </xdr:to>
    <xdr:sp>
      <xdr:nvSpPr>
        <xdr:cNvPr id="1" name="Text 26"/>
        <xdr:cNvSpPr txBox="1">
          <a:spLocks noChangeArrowheads="1"/>
        </xdr:cNvSpPr>
      </xdr:nvSpPr>
      <xdr:spPr>
        <a:xfrm>
          <a:off x="600075" y="68332350"/>
          <a:ext cx="4876800" cy="7543800"/>
        </a:xfrm>
        <a:prstGeom prst="rect">
          <a:avLst/>
        </a:prstGeom>
        <a:solidFill>
          <a:srgbClr val="E3E3E3"/>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8000"/>
              </a:solidFill>
              <a:latin typeface="Arial"/>
              <a:ea typeface="Arial"/>
              <a:cs typeface="Arial"/>
            </a:rPr>
            <a:t>Port Builder, Instructions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worksheet calculates the cost and time to build a portion of a port, or an entire port facility, including docks, piers, breakwaters, lighthouses, warehouses, and ship yards.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first step is to enter the number of </a:t>
          </a:r>
          <a:r>
            <a:rPr lang="en-US" cap="none" sz="1000" b="1" i="0" u="none" baseline="0">
              <a:solidFill>
                <a:srgbClr val="802060"/>
              </a:solidFill>
              <a:latin typeface="Arial"/>
              <a:ea typeface="Arial"/>
              <a:cs typeface="Arial"/>
            </a:rPr>
            <a:t>construction workers</a:t>
          </a:r>
          <a:r>
            <a:rPr lang="en-US" cap="none" sz="1000" b="1" i="0" u="none" baseline="0">
              <a:solidFill>
                <a:srgbClr val="000000"/>
              </a:solidFill>
              <a:latin typeface="Arial"/>
              <a:ea typeface="Arial"/>
              <a:cs typeface="Arial"/>
            </a:rPr>
            <a:t> available to build a port's main elements. Check the various situational modifiers, such as the leadership and the organizational abilities of the builders, the urban environment of the port, the quality and motivation of the workforce, whether the port is built on vacant land or if an existing part of the town needs to be torn down to make room for the port (  Expropriation  ), and the setting's
</a:t>
          </a:r>
          <a:r>
            <a:rPr lang="en-US" cap="none" sz="1000" b="1" i="0" u="none" baseline="0">
              <a:solidFill>
                <a:srgbClr val="000000"/>
              </a:solidFill>
              <a:latin typeface="Arial"/>
              <a:ea typeface="Arial"/>
              <a:cs typeface="Arial"/>
            </a:rPr>
            <a:t>level of corruption   (bribery, price-gouging, embezzlement of funds, pork-barrel politics, etc).
</a:t>
          </a:r>
          <a:r>
            <a:rPr lang="en-US" cap="none" sz="1000" b="1"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Port Capacity</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Enter the Port Capacity. The latter is expressed in Hull Points, which is the standard used to rate ships in the basic D&amp;D</a:t>
          </a:r>
          <a:r>
            <a:rPr lang="en-US" cap="none" sz="1000" b="1" i="0" u="none" baseline="30000">
              <a:solidFill>
                <a:srgbClr val="000000"/>
              </a:solidFill>
              <a:latin typeface="Arial"/>
              <a:ea typeface="Arial"/>
              <a:cs typeface="Arial"/>
            </a:rPr>
            <a:t>(R)</a:t>
          </a:r>
          <a:r>
            <a:rPr lang="en-US" cap="none" sz="1000" b="1" i="0" u="none" baseline="0">
              <a:solidFill>
                <a:srgbClr val="000000"/>
              </a:solidFill>
              <a:latin typeface="Arial"/>
              <a:ea typeface="Arial"/>
              <a:cs typeface="Arial"/>
            </a:rPr>
            <a:t> Rules (see Rules Cyclopedia, page 71). It is best to enter a port size of at least 360 HP for this worksheet to be meaningful. Here are guidelines for port sizes in Mystara</a:t>
          </a:r>
          <a:r>
            <a:rPr lang="en-US" cap="none" sz="1000" b="1" i="0" u="none" baseline="30000">
              <a:solidFill>
                <a:srgbClr val="000000"/>
              </a:solidFill>
              <a:latin typeface="Arial"/>
              <a:ea typeface="Arial"/>
              <a:cs typeface="Arial"/>
            </a:rPr>
            <a:t>TM</a:t>
          </a:r>
          <a:r>
            <a:rPr lang="en-US" cap="none" sz="1000" b="1" i="0" u="none" baseline="0">
              <a:solidFill>
                <a:srgbClr val="000000"/>
              </a:solidFill>
              <a:latin typeface="Arial"/>
              <a:ea typeface="Arial"/>
              <a:cs typeface="Arial"/>
            </a:rPr>
            <a:t>'s Known World: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Huge Port:     15,000 HP and above      </a:t>
          </a:r>
          <a:r>
            <a:rPr lang="en-US" cap="none" sz="1000" b="1" i="1" u="none" baseline="0">
              <a:solidFill>
                <a:srgbClr val="000000"/>
              </a:solidFill>
              <a:latin typeface="Arial"/>
              <a:ea typeface="Arial"/>
              <a:cs typeface="Arial"/>
            </a:rPr>
            <a:t>Thyatis City</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Very Large:   10,000 HP                        </a:t>
          </a:r>
          <a:r>
            <a:rPr lang="en-US" cap="none" sz="1000" b="1" i="1" u="none" baseline="0">
              <a:solidFill>
                <a:srgbClr val="000000"/>
              </a:solidFill>
              <a:latin typeface="Arial"/>
              <a:ea typeface="Arial"/>
              <a:cs typeface="Arial"/>
            </a:rPr>
            <a:t>East Portage, Minrothad</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Large:             5,000 HP                        </a:t>
          </a:r>
          <a:r>
            <a:rPr lang="en-US" cap="none" sz="1000" b="1" i="1" u="none" baseline="0">
              <a:solidFill>
                <a:srgbClr val="000000"/>
              </a:solidFill>
              <a:latin typeface="Arial"/>
              <a:ea typeface="Arial"/>
              <a:cs typeface="Arial"/>
            </a:rPr>
            <a:t>Freiburg, Helskir, Ierendi, Shireton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2,000 HP                        </a:t>
          </a:r>
          <a:r>
            <a:rPr lang="en-US" cap="none" sz="1000" b="1" i="1" u="none" baseline="0">
              <a:solidFill>
                <a:srgbClr val="000000"/>
              </a:solidFill>
              <a:latin typeface="Arial"/>
              <a:ea typeface="Arial"/>
              <a:cs typeface="Arial"/>
            </a:rPr>
            <a:t>Dunadale, Specularum/Mirros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1,000 HP                        </a:t>
          </a:r>
          <a:r>
            <a:rPr lang="en-US" cap="none" sz="1000" b="1" i="1" u="none" baseline="0">
              <a:solidFill>
                <a:srgbClr val="000000"/>
              </a:solidFill>
              <a:latin typeface="Arial"/>
              <a:ea typeface="Arial"/>
              <a:cs typeface="Arial"/>
            </a:rPr>
            <a:t>Filtot, Akorros, Landfall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Very Small:        500 HP or less            </a:t>
          </a:r>
          <a:r>
            <a:rPr lang="en-US" cap="none" sz="1000" b="1" i="1" u="none" baseline="0">
              <a:solidFill>
                <a:srgbClr val="000000"/>
              </a:solidFill>
              <a:latin typeface="Arial"/>
              <a:ea typeface="Arial"/>
              <a:cs typeface="Arial"/>
            </a:rPr>
            <a:t>Crossbones, Surra-Man-Raa, Vlaad</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200" b="1" i="0" u="none" baseline="0">
              <a:solidFill>
                <a:srgbClr val="663300"/>
              </a:solidFill>
              <a:latin typeface="Arial"/>
              <a:ea typeface="Arial"/>
              <a:cs typeface="Arial"/>
            </a:rPr>
            <a:t>Dock Ratings and Other Structures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Choose one of the size ratings for the docks and whether docks and piers ought to be made of wood or stone. Check the appropriate boxes if </a:t>
          </a:r>
          <a:r>
            <a:rPr lang="en-US" cap="none" sz="1000" b="1" i="1" u="none" baseline="0">
              <a:solidFill>
                <a:srgbClr val="000000"/>
              </a:solidFill>
              <a:latin typeface="Arial"/>
              <a:ea typeface="Arial"/>
              <a:cs typeface="Arial"/>
            </a:rPr>
            <a:t>dry docks</a:t>
          </a:r>
          <a:r>
            <a:rPr lang="en-US" cap="none" sz="1000" b="1" i="0" u="none" baseline="0">
              <a:solidFill>
                <a:srgbClr val="000000"/>
              </a:solidFill>
              <a:latin typeface="Arial"/>
              <a:ea typeface="Arial"/>
              <a:cs typeface="Arial"/>
            </a:rPr>
            <a:t> and </a:t>
          </a:r>
          <a:r>
            <a:rPr lang="en-US" cap="none" sz="1000" b="1" i="1" u="none" baseline="0">
              <a:solidFill>
                <a:srgbClr val="000000"/>
              </a:solidFill>
              <a:latin typeface="Arial"/>
              <a:ea typeface="Arial"/>
              <a:cs typeface="Arial"/>
            </a:rPr>
            <a:t>warehouses</a:t>
          </a:r>
          <a:r>
            <a:rPr lang="en-US" cap="none" sz="1000" b="1" i="0" u="none" baseline="0">
              <a:solidFill>
                <a:srgbClr val="000000"/>
              </a:solidFill>
              <a:latin typeface="Arial"/>
              <a:ea typeface="Arial"/>
              <a:cs typeface="Arial"/>
            </a:rPr>
            <a:t> are to be included in the construction. In the following box, enter the length of </a:t>
          </a:r>
          <a:r>
            <a:rPr lang="en-US" cap="none" sz="1000" b="1" i="1" u="none" baseline="0">
              <a:solidFill>
                <a:srgbClr val="000000"/>
              </a:solidFill>
              <a:latin typeface="Arial"/>
              <a:ea typeface="Arial"/>
              <a:cs typeface="Arial"/>
            </a:rPr>
            <a:t>breakwaters</a:t>
          </a:r>
          <a:r>
            <a:rPr lang="en-US" cap="none" sz="1000" b="1" i="0" u="none" baseline="0">
              <a:solidFill>
                <a:srgbClr val="000000"/>
              </a:solidFill>
              <a:latin typeface="Arial"/>
              <a:ea typeface="Arial"/>
              <a:cs typeface="Arial"/>
            </a:rPr>
            <a:t> (if any) and whether they are fortified, and the number of </a:t>
          </a:r>
          <a:r>
            <a:rPr lang="en-US" cap="none" sz="1000" b="1" i="1" u="none" baseline="0">
              <a:solidFill>
                <a:srgbClr val="000000"/>
              </a:solidFill>
              <a:latin typeface="Arial"/>
              <a:ea typeface="Arial"/>
              <a:cs typeface="Arial"/>
            </a:rPr>
            <a:t>lighthouses</a:t>
          </a:r>
          <a:r>
            <a:rPr lang="en-US" cap="none" sz="1000" b="1" i="0" u="none" baseline="0">
              <a:solidFill>
                <a:srgbClr val="000000"/>
              </a:solidFill>
              <a:latin typeface="Arial"/>
              <a:ea typeface="Arial"/>
              <a:cs typeface="Arial"/>
            </a:rPr>
            <a:t> (if any). Additional features can be manually entered, along with the cost to build them and the surface they occupy.
</a:t>
          </a:r>
          <a:r>
            <a:rPr lang="en-US" cap="none" sz="1000" b="1" i="0" u="none" baseline="0">
              <a:solidFill>
                <a:srgbClr val="000000"/>
              </a:solidFill>
              <a:latin typeface="Arial"/>
              <a:ea typeface="Arial"/>
              <a:cs typeface="Arial"/>
            </a:rPr>
            <a:t>
</a:t>
          </a:r>
          <a:r>
            <a:rPr lang="en-US" cap="none" sz="1200" b="1" i="0" u="none" baseline="0">
              <a:solidFill>
                <a:srgbClr val="FF0000"/>
              </a:solidFill>
              <a:latin typeface="Arial"/>
              <a:ea typeface="Arial"/>
              <a:cs typeface="Arial"/>
            </a:rPr>
            <a:t>Port Ratings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worksheet automatically calculates all port ratings, construction costs, budgets, and time estimations. Play with the number of construction workers, situational modifiers, and dock ratings to observe the results.
</a:t>
          </a:r>
          <a:r>
            <a:rPr lang="en-US" cap="none" sz="1000" b="1" i="0" u="none" baseline="0">
              <a:solidFill>
                <a:srgbClr val="000000"/>
              </a:solidFill>
              <a:latin typeface="Arial"/>
              <a:ea typeface="Arial"/>
              <a:cs typeface="Arial"/>
            </a:rPr>
            <a:t>
</a:t>
          </a:r>
        </a:p>
      </xdr:txBody>
    </xdr:sp>
    <xdr:clientData/>
  </xdr:twoCellAnchor>
  <xdr:twoCellAnchor>
    <xdr:from>
      <xdr:col>1</xdr:col>
      <xdr:colOff>9525</xdr:colOff>
      <xdr:row>1</xdr:row>
      <xdr:rowOff>9525</xdr:rowOff>
    </xdr:from>
    <xdr:to>
      <xdr:col>9</xdr:col>
      <xdr:colOff>9525</xdr:colOff>
      <xdr:row>29</xdr:row>
      <xdr:rowOff>57150</xdr:rowOff>
    </xdr:to>
    <xdr:sp>
      <xdr:nvSpPr>
        <xdr:cNvPr id="2" name="Text 1"/>
        <xdr:cNvSpPr txBox="1">
          <a:spLocks noChangeArrowheads="1"/>
        </xdr:cNvSpPr>
      </xdr:nvSpPr>
      <xdr:spPr>
        <a:xfrm>
          <a:off x="619125" y="171450"/>
          <a:ext cx="4876800" cy="4581525"/>
        </a:xfrm>
        <a:prstGeom prst="rect">
          <a:avLst/>
        </a:prstGeom>
        <a:solidFill>
          <a:srgbClr val="E3E3E3"/>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FF0000"/>
              </a:solidFill>
              <a:latin typeface="Arial"/>
              <a:ea typeface="Arial"/>
              <a:cs typeface="Arial"/>
            </a:rPr>
            <a:t>About Budgets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Spending money on </a:t>
          </a:r>
          <a:r>
            <a:rPr lang="en-US" cap="none" sz="1000" b="1" i="0" u="none" baseline="0">
              <a:solidFill>
                <a:srgbClr val="0000FF"/>
              </a:solidFill>
              <a:latin typeface="Arial"/>
              <a:ea typeface="Arial"/>
              <a:cs typeface="Arial"/>
            </a:rPr>
            <a:t>upkeep and construction</a:t>
          </a:r>
          <a:r>
            <a:rPr lang="en-US" cap="none" sz="1000" b="1" i="0" u="none" baseline="0">
              <a:solidFill>
                <a:srgbClr val="000000"/>
              </a:solidFill>
              <a:latin typeface="Arial"/>
              <a:ea typeface="Arial"/>
              <a:cs typeface="Arial"/>
            </a:rPr>
            <a:t> supports primarily population growth and especially the rate of urbanization. Towns are important because they generate more revenues than rural lands. Spending money on the </a:t>
          </a:r>
          <a:r>
            <a:rPr lang="en-US" cap="none" sz="1000" b="1" i="0" u="none" baseline="0">
              <a:solidFill>
                <a:srgbClr val="0000FF"/>
              </a:solidFill>
              <a:latin typeface="Arial"/>
              <a:ea typeface="Arial"/>
              <a:cs typeface="Arial"/>
            </a:rPr>
            <a:t>military</a:t>
          </a:r>
          <a:r>
            <a:rPr lang="en-US" cap="none" sz="1000" b="1" i="0" u="none" baseline="0">
              <a:solidFill>
                <a:srgbClr val="000000"/>
              </a:solidFill>
              <a:latin typeface="Arial"/>
              <a:ea typeface="Arial"/>
              <a:cs typeface="Arial"/>
            </a:rPr>
            <a:t> is self-explanatory. "</a:t>
          </a:r>
          <a:r>
            <a:rPr lang="en-US" cap="none" sz="1000" b="1" i="0" u="none" baseline="0">
              <a:solidFill>
                <a:srgbClr val="0000FF"/>
              </a:solidFill>
              <a:latin typeface="Arial"/>
              <a:ea typeface="Arial"/>
              <a:cs typeface="Arial"/>
            </a:rPr>
            <a:t>Petty cash</a:t>
          </a:r>
          <a:r>
            <a:rPr lang="en-US" cap="none" sz="1000" b="1" i="0" u="none" baseline="0">
              <a:solidFill>
                <a:srgbClr val="000000"/>
              </a:solidFill>
              <a:latin typeface="Arial"/>
              <a:ea typeface="Arial"/>
              <a:cs typeface="Arial"/>
            </a:rPr>
            <a:t>" is everything else, but for the sake of the game this could affect politics directly (pensions given to noble families, bribes, rewards given at the ruler's court, and so forth). Finally, </a:t>
          </a:r>
          <a:r>
            <a:rPr lang="en-US" cap="none" sz="1000" b="1" i="0" u="none" baseline="0">
              <a:solidFill>
                <a:srgbClr val="0000FF"/>
              </a:solidFill>
              <a:latin typeface="Arial"/>
              <a:ea typeface="Arial"/>
              <a:cs typeface="Arial"/>
            </a:rPr>
            <a:t>Treasury</a:t>
          </a:r>
          <a:r>
            <a:rPr lang="en-US" cap="none" sz="1000" b="1" i="0" u="none" baseline="0">
              <a:solidFill>
                <a:srgbClr val="000000"/>
              </a:solidFill>
              <a:latin typeface="Arial"/>
              <a:ea typeface="Arial"/>
              <a:cs typeface="Arial"/>
            </a:rPr>
            <a:t> is basically what's left over and saved for future use.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Budgeting can be used as part of a dominion ruler's strategy. This aspect of the game is more relevant to roleplaying than to a speadsheet's number-crunching ability. However, chosing one or the other can help a DM evaluate the effects of a player's dominion strategy.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Early on, a ruler may need to spend more heavily on the Military to pacify new lands and stabilize the dominion. As lands become more settled, Military spending can be decreased a bit, leading to a period of economic expansion seeing the development of towns, roads, ports, and other infrastructure supporting population growth and commerce.  Population expansion eventually needs to slow down to avoid creating a situation where rural agriculture becomes unable to support urban populations and food needs to be imported. At this point, the next phase could be saving cash at a faster pace for possible catastrophes (wars, epidemics, famine, cataclysms, etc). Once a dominion's treasury is good enough, "Cash" becomes important as dominion politics and court intrigue take the center stage. While events unravel, a dominion ruler needs to switch from one type of budget to another.</a:t>
          </a:r>
        </a:p>
      </xdr:txBody>
    </xdr:sp>
    <xdr:clientData/>
  </xdr:twoCellAnchor>
  <xdr:twoCellAnchor>
    <xdr:from>
      <xdr:col>1</xdr:col>
      <xdr:colOff>9525</xdr:colOff>
      <xdr:row>33</xdr:row>
      <xdr:rowOff>9525</xdr:rowOff>
    </xdr:from>
    <xdr:to>
      <xdr:col>9</xdr:col>
      <xdr:colOff>9525</xdr:colOff>
      <xdr:row>51</xdr:row>
      <xdr:rowOff>0</xdr:rowOff>
    </xdr:to>
    <xdr:sp>
      <xdr:nvSpPr>
        <xdr:cNvPr id="3" name="Text 4"/>
        <xdr:cNvSpPr txBox="1">
          <a:spLocks noChangeArrowheads="1"/>
        </xdr:cNvSpPr>
      </xdr:nvSpPr>
      <xdr:spPr>
        <a:xfrm>
          <a:off x="619125" y="5353050"/>
          <a:ext cx="4876800" cy="2905125"/>
        </a:xfrm>
        <a:prstGeom prst="rect">
          <a:avLst/>
        </a:prstGeom>
        <a:solidFill>
          <a:srgbClr val="E3E3E3"/>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Thanks for your interest in these Dominion Economy guidelines.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You are welcome to make this spreadsheet available on your web site, but I need you to mention a couple things about it. First, there needs to be a line explaining that this is/was part of a discussion on the MMB (the </a:t>
          </a:r>
          <a:r>
            <a:rPr lang="en-US" cap="none" sz="900" b="1" i="1" u="none" baseline="0">
              <a:solidFill>
                <a:srgbClr val="0000FF"/>
              </a:solidFill>
              <a:latin typeface="Arial"/>
              <a:ea typeface="Arial"/>
              <a:cs typeface="Arial"/>
            </a:rPr>
            <a:t>Mystara Message Board</a:t>
          </a:r>
          <a:r>
            <a:rPr lang="en-US" cap="none" sz="900" b="1" i="0" u="none" baseline="0">
              <a:solidFill>
                <a:srgbClr val="000000"/>
              </a:solidFill>
              <a:latin typeface="Arial"/>
              <a:ea typeface="Arial"/>
              <a:cs typeface="Arial"/>
            </a:rPr>
            <a:t> on the TSR web site). Please include the date you posted this file since there may be future updates, and naturally the author's name. The reason I offer this is to entertain Mystara fans, but also to receive comments and suggestions from playtesters. This sort of help is always welcome. Comments can be e-mailed to me directly, but I would prefer they be posted on the MMB just to keep everyone there involved with the ongoing discussion. The TSR web site is located at </a:t>
          </a:r>
          <a:r>
            <a:rPr lang="en-US" cap="none" sz="900" b="1" i="0" u="none" baseline="0">
              <a:solidFill>
                <a:srgbClr val="0000FF"/>
              </a:solidFill>
              <a:latin typeface="Arial"/>
              <a:ea typeface="Arial"/>
              <a:cs typeface="Arial"/>
            </a:rPr>
            <a:t>www.TSR.com</a:t>
          </a:r>
          <a:r>
            <a:rPr lang="en-US" cap="none" sz="900" b="1" i="0" u="none" baseline="0">
              <a:solidFill>
                <a:srgbClr val="000000"/>
              </a:solidFill>
              <a:latin typeface="Arial"/>
              <a:ea typeface="Arial"/>
              <a:cs typeface="Arial"/>
            </a:rPr>
            <a:t>. This message board can be accessed directly with a </a:t>
          </a:r>
          <a:r>
            <a:rPr lang="en-US" cap="none" sz="900" b="1" i="0" u="sng" baseline="0">
              <a:solidFill>
                <a:srgbClr val="000000"/>
              </a:solidFill>
              <a:latin typeface="Arial"/>
              <a:ea typeface="Arial"/>
              <a:cs typeface="Arial"/>
            </a:rPr>
            <a:t>web browser</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http://tsronline.wizards.com/mb/index.html</a:t>
          </a:r>
          <a:r>
            <a:rPr lang="en-US" cap="none" sz="900" b="1" i="0" u="none" baseline="0">
              <a:solidFill>
                <a:srgbClr val="000000"/>
              </a:solidFill>
              <a:latin typeface="Arial"/>
              <a:ea typeface="Arial"/>
              <a:cs typeface="Arial"/>
            </a:rPr>
            <a:t>), or with a </a:t>
          </a:r>
          <a:r>
            <a:rPr lang="en-US" cap="none" sz="900" b="1" i="0" u="sng" baseline="0">
              <a:solidFill>
                <a:srgbClr val="000000"/>
              </a:solidFill>
              <a:latin typeface="Arial"/>
              <a:ea typeface="Arial"/>
              <a:cs typeface="Arial"/>
            </a:rPr>
            <a:t>newsgroup reader</a:t>
          </a:r>
          <a:r>
            <a:rPr lang="en-US" cap="none" sz="900" b="1" i="0" u="none" baseline="0">
              <a:solidFill>
                <a:srgbClr val="000000"/>
              </a:solidFill>
              <a:latin typeface="Arial"/>
              <a:ea typeface="Arial"/>
              <a:cs typeface="Arial"/>
            </a:rPr>
            <a:t> (the newsgroup server address is </a:t>
          </a:r>
          <a:r>
            <a:rPr lang="en-US" cap="none" sz="900" b="1" i="0" u="none" baseline="0">
              <a:solidFill>
                <a:srgbClr val="0000FF"/>
              </a:solidFill>
              <a:latin typeface="Arial"/>
              <a:ea typeface="Arial"/>
              <a:cs typeface="Arial"/>
            </a:rPr>
            <a:t>TSROnline.com</a:t>
          </a:r>
          <a:r>
            <a:rPr lang="en-US" cap="none" sz="900" b="1" i="0" u="none" baseline="0">
              <a:solidFill>
                <a:srgbClr val="000000"/>
              </a:solidFill>
              <a:latin typeface="Arial"/>
              <a:ea typeface="Arial"/>
              <a:cs typeface="Arial"/>
            </a:rPr>
            <a:t> and the MMB's location is </a:t>
          </a:r>
          <a:r>
            <a:rPr lang="en-US" cap="none" sz="900" b="1" i="0" u="none" baseline="0">
              <a:solidFill>
                <a:srgbClr val="0000FF"/>
              </a:solidFill>
              <a:latin typeface="Arial"/>
              <a:ea typeface="Arial"/>
              <a:cs typeface="Arial"/>
            </a:rPr>
            <a:t>TSR.OOP.Mystara</a:t>
          </a:r>
          <a:r>
            <a:rPr lang="en-US" cap="none" sz="900" b="1" i="0" u="none" baseline="0">
              <a:solidFill>
                <a:srgbClr val="000000"/>
              </a:solidFill>
              <a:latin typeface="Arial"/>
              <a:ea typeface="Arial"/>
              <a:cs typeface="Arial"/>
            </a:rPr>
            <a:t>). I mention the latter since it is the fastest and allows offline reading.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Thanks again!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Bruce Heard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Ambreville@AOL.com</a:t>
          </a:r>
        </a:p>
      </xdr:txBody>
    </xdr:sp>
    <xdr:clientData/>
  </xdr:twoCellAnchor>
  <xdr:twoCellAnchor>
    <xdr:from>
      <xdr:col>0</xdr:col>
      <xdr:colOff>600075</xdr:colOff>
      <xdr:row>55</xdr:row>
      <xdr:rowOff>152400</xdr:rowOff>
    </xdr:from>
    <xdr:to>
      <xdr:col>8</xdr:col>
      <xdr:colOff>590550</xdr:colOff>
      <xdr:row>120</xdr:row>
      <xdr:rowOff>114300</xdr:rowOff>
    </xdr:to>
    <xdr:sp>
      <xdr:nvSpPr>
        <xdr:cNvPr id="4" name="Text 8"/>
        <xdr:cNvSpPr txBox="1">
          <a:spLocks noChangeArrowheads="1"/>
        </xdr:cNvSpPr>
      </xdr:nvSpPr>
      <xdr:spPr>
        <a:xfrm>
          <a:off x="600075" y="9058275"/>
          <a:ext cx="4867275" cy="10487025"/>
        </a:xfrm>
        <a:prstGeom prst="rect">
          <a:avLst/>
        </a:prstGeom>
        <a:solidFill>
          <a:srgbClr val="E3E3E3"/>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The Navy</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the total budget for the dominion's military has been established, the first task is to determine whether a navy is needed and if so, what budget priorities it commands. Enter  "Y" in one of the corresponding boxes (NONE if no fleet is needed, LOW for a smaller fleet, MEDIUM for an average fleet, and HIGH for a larger fleet).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Then chose what ships are part of the navy, keeping an eye on the colored comments below the chart. If the cost of the crew exceeds the available navy budget, then reduce the number of ships accordingly. Rowers are "free" if they are convicts or slaves or some sort. Longships do not have "marines" or "rowers" since their warrior-sailors provide all these tasks. Once the dominion is first created, it is assumed the ships themselves were acquired as part of a inheritance, a donation by the dominion's suzerain, or the result of an adventure. Any additional ships to be acquired later on must be paid for. Get used to the way the chart works until the comes as close as possible to the "optimum" budget. Any unused gold is automatically added to the land forces budget.
</a:t>
          </a:r>
          <a:r>
            <a:rPr lang="en-US" cap="none" sz="1000" b="1" i="0" u="none" baseline="0">
              <a:solidFill>
                <a:srgbClr val="000000"/>
              </a:solidFill>
              <a:latin typeface="Arial"/>
              <a:ea typeface="Arial"/>
              <a:cs typeface="Arial"/>
            </a:rPr>
            <a:t>
</a:t>
          </a:r>
          <a:r>
            <a:rPr lang="en-US" cap="none" sz="1200" b="1" i="0" u="none" baseline="0">
              <a:solidFill>
                <a:srgbClr val="008000"/>
              </a:solidFill>
              <a:latin typeface="Arial"/>
              <a:ea typeface="Arial"/>
              <a:cs typeface="Arial"/>
            </a:rPr>
            <a:t>The Army:</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200" b="1" i="0" u="none" baseline="0">
              <a:solidFill>
                <a:srgbClr val="802060"/>
              </a:solidFill>
              <a:latin typeface="Arial"/>
              <a:ea typeface="Arial"/>
              <a:cs typeface="Arial"/>
            </a:rPr>
            <a:t>Army Units:</a:t>
          </a:r>
          <a:r>
            <a:rPr lang="en-US" cap="none" sz="1000" b="1" i="0" u="none" baseline="0">
              <a:solidFill>
                <a:srgbClr val="000000"/>
              </a:solidFill>
              <a:latin typeface="Arial"/>
              <a:ea typeface="Arial"/>
              <a:cs typeface="Arial"/>
            </a:rPr>
            <a:t> The next step is to determine what types of troops make up the land forces. Go through the list of troops and enter a "1" for those you want. Check the next chart -- it calculates how many of these troops and their officers are available. Modify the numbers in the previous chart to fine-tune the army makeup, using fractions if necessary. Familiarize yourself with the two charts' dynamics until they yield the best results. 
</a:t>
          </a:r>
          <a:r>
            <a:rPr lang="en-US" cap="none" sz="1000" b="1" i="0" u="none" baseline="0">
              <a:solidFill>
                <a:srgbClr val="000000"/>
              </a:solidFill>
              <a:latin typeface="Arial"/>
              <a:ea typeface="Arial"/>
              <a:cs typeface="Arial"/>
            </a:rPr>
            <a:t>
</a:t>
          </a:r>
          <a:r>
            <a:rPr lang="en-US" cap="none" sz="1200" b="1" i="0" u="none" baseline="0">
              <a:solidFill>
                <a:srgbClr val="802060"/>
              </a:solidFill>
              <a:latin typeface="Arial"/>
              <a:ea typeface="Arial"/>
              <a:cs typeface="Arial"/>
            </a:rPr>
            <a:t>Experience:</a:t>
          </a:r>
          <a:r>
            <a:rPr lang="en-US" cap="none" sz="1000" b="1" i="0" u="none" baseline="0">
              <a:solidFill>
                <a:srgbClr val="000000"/>
              </a:solidFill>
              <a:latin typeface="Arial"/>
              <a:ea typeface="Arial"/>
              <a:cs typeface="Arial"/>
            </a:rPr>
            <a:t> The second chart can be altered -- the </a:t>
          </a:r>
          <a:r>
            <a:rPr lang="en-US" cap="none" sz="1000" b="1" i="1" u="none" baseline="0">
              <a:solidFill>
                <a:srgbClr val="000000"/>
              </a:solidFill>
              <a:latin typeface="Arial"/>
              <a:ea typeface="Arial"/>
              <a:cs typeface="Arial"/>
            </a:rPr>
            <a:t>starting </a:t>
          </a:r>
          <a:r>
            <a:rPr lang="en-US" cap="none" sz="1000" b="1" i="0" u="none" baseline="0">
              <a:solidFill>
                <a:srgbClr val="000000"/>
              </a:solidFill>
              <a:latin typeface="Arial"/>
              <a:ea typeface="Arial"/>
              <a:cs typeface="Arial"/>
            </a:rPr>
            <a:t>experience levels (or HD) are listed and can be changed manually. "Level-zero" (or Normal Men") troops are listed as "0.5". Humanoids with 1-1 HD should be listed as 0.9, likewise 1+1 HD should be listed as 1.1. The basic cost of the soldiers is also listed and can be changed manually. This is especialy important if monsters or spellcasters are to become part of the army. The rule of thumb for these is to make sure their basic cost is </a:t>
          </a:r>
          <a:r>
            <a:rPr lang="en-US" cap="none" sz="1000" b="1" i="1" u="none" baseline="0">
              <a:solidFill>
                <a:srgbClr val="000000"/>
              </a:solidFill>
              <a:latin typeface="Arial"/>
              <a:ea typeface="Arial"/>
              <a:cs typeface="Arial"/>
            </a:rPr>
            <a:t>at least</a:t>
          </a:r>
          <a:r>
            <a:rPr lang="en-US" cap="none" sz="1000" b="1" i="0" u="none" baseline="0">
              <a:solidFill>
                <a:srgbClr val="000000"/>
              </a:solidFill>
              <a:latin typeface="Arial"/>
              <a:ea typeface="Arial"/>
              <a:cs typeface="Arial"/>
            </a:rPr>
            <a:t> 1gp for each experience level or HD, 2gp if spellcasters or significant special abilities exist.
</a:t>
          </a:r>
          <a:r>
            <a:rPr lang="en-US" cap="none" sz="1000" b="1" i="0" u="none" baseline="0">
              <a:solidFill>
                <a:srgbClr val="000000"/>
              </a:solidFill>
              <a:latin typeface="Arial"/>
              <a:ea typeface="Arial"/>
              <a:cs typeface="Arial"/>
            </a:rPr>
            <a:t>
</a:t>
          </a:r>
          <a:r>
            <a:rPr lang="en-US" cap="none" sz="1200" b="1" i="0" u="none" baseline="0">
              <a:solidFill>
                <a:srgbClr val="802060"/>
              </a:solidFill>
              <a:latin typeface="Arial"/>
              <a:ea typeface="Arial"/>
              <a:cs typeface="Arial"/>
            </a:rPr>
            <a:t>Costs:</a:t>
          </a:r>
          <a:r>
            <a:rPr lang="en-US" cap="none" sz="1000" b="1" i="0" u="none" baseline="0">
              <a:solidFill>
                <a:srgbClr val="000000"/>
              </a:solidFill>
              <a:latin typeface="Arial"/>
              <a:ea typeface="Arial"/>
              <a:cs typeface="Arial"/>
            </a:rPr>
            <a:t> The same basic cost should be used as the ones listed for other races, with a condition. As long as non-human warriors are employed by a master of the same race, the listed prices should be used. If the employer is of a difference but benevolent race, add 50% to the basic cost. If the employer is of a race that isn't perceived as friendly, double the basic cost. Else, use your best judgement. The basic cost listed for War Machines is for orcs specifically.
</a:t>
          </a:r>
          <a:r>
            <a:rPr lang="en-US" cap="none" sz="1000" b="1" i="0" u="none" baseline="0">
              <a:solidFill>
                <a:srgbClr val="000000"/>
              </a:solidFill>
              <a:latin typeface="Arial"/>
              <a:ea typeface="Arial"/>
              <a:cs typeface="Arial"/>
            </a:rPr>
            <a:t>
</a:t>
          </a:r>
          <a:r>
            <a:rPr lang="en-US" cap="none" sz="1200" b="1" i="0" u="none" baseline="0">
              <a:solidFill>
                <a:srgbClr val="802060"/>
              </a:solidFill>
              <a:latin typeface="Arial"/>
              <a:ea typeface="Arial"/>
              <a:cs typeface="Arial"/>
            </a:rPr>
            <a:t>Leadership:</a:t>
          </a:r>
          <a:r>
            <a:rPr lang="en-US" cap="none" sz="1000" b="1" i="0" u="none" baseline="0">
              <a:solidFill>
                <a:srgbClr val="000000"/>
              </a:solidFill>
              <a:latin typeface="Arial"/>
              <a:ea typeface="Arial"/>
              <a:cs typeface="Arial"/>
            </a:rPr>
            <a:t> The cost of officers is automatically calculated. Troops should never be selected if their budget does not allow at least one sergeant. Heroes and Captains are expensive, however, the presence of Captains adds a +1 combat bonus to these troops, or a +2 for heroes. Sergeants are assumed to be one experience level or HD higher than the basic soldiers, Captains are two levels or HD above the Sergeants, and Heroes, two more levels above the Captains. For example, "zero-level" soldiers would have Level 1 Sergeants, Level 3 Captains, and Level 5 Heroes. Heroes and Captains can be used to command other troop types without similar leaders, but without the combat bonus.
</a:t>
          </a:r>
          <a:r>
            <a:rPr lang="en-US" cap="none" sz="1000" b="1" i="0" u="none" baseline="0">
              <a:solidFill>
                <a:srgbClr val="000000"/>
              </a:solidFill>
              <a:latin typeface="Arial"/>
              <a:ea typeface="Arial"/>
              <a:cs typeface="Arial"/>
            </a:rPr>
            <a:t>
</a:t>
          </a:r>
          <a:r>
            <a:rPr lang="en-US" cap="none" sz="1200" b="1" i="0" u="none" baseline="0">
              <a:solidFill>
                <a:srgbClr val="802060"/>
              </a:solidFill>
              <a:latin typeface="Arial"/>
              <a:ea typeface="Arial"/>
              <a:cs typeface="Arial"/>
            </a:rPr>
            <a:t>Final Note:</a:t>
          </a:r>
          <a:r>
            <a:rPr lang="en-US" cap="none" sz="1000" b="1" i="0" u="none" baseline="0">
              <a:solidFill>
                <a:srgbClr val="000000"/>
              </a:solidFill>
              <a:latin typeface="Arial"/>
              <a:ea typeface="Arial"/>
              <a:cs typeface="Arial"/>
            </a:rPr>
            <a:t> The final cost of the land forces may not be exactly the same as what was listed earlier, but that's normal. This is due to the process of rounding up/down the number of troops to the next "whole person". I doubt any ruler would want to be stuck with that </a:t>
          </a:r>
          <a:r>
            <a:rPr lang="en-US" cap="none" sz="1000" b="1" i="1" u="none" baseline="0">
              <a:solidFill>
                <a:srgbClr val="000000"/>
              </a:solidFill>
              <a:latin typeface="Arial"/>
              <a:ea typeface="Arial"/>
              <a:cs typeface="Arial"/>
            </a:rPr>
            <a:t>0.1 sentinel</a:t>
          </a:r>
          <a:r>
            <a:rPr lang="en-US" cap="none" sz="1000" b="1" i="0" u="none" baseline="0">
              <a:solidFill>
                <a:srgbClr val="000000"/>
              </a:solidFill>
              <a:latin typeface="Arial"/>
              <a:ea typeface="Arial"/>
              <a:cs typeface="Arial"/>
            </a:rPr>
            <a:t> guarding the door! This sort of discrepancy is more likely to occur with higher level, expensive troops. Don't lose sleep over it -- assume the overall budget number is correct.</a:t>
          </a:r>
        </a:p>
      </xdr:txBody>
    </xdr:sp>
    <xdr:clientData/>
  </xdr:twoCellAnchor>
  <xdr:twoCellAnchor>
    <xdr:from>
      <xdr:col>1</xdr:col>
      <xdr:colOff>0</xdr:colOff>
      <xdr:row>125</xdr:row>
      <xdr:rowOff>0</xdr:rowOff>
    </xdr:from>
    <xdr:to>
      <xdr:col>9</xdr:col>
      <xdr:colOff>0</xdr:colOff>
      <xdr:row>277</xdr:row>
      <xdr:rowOff>47625</xdr:rowOff>
    </xdr:to>
    <xdr:sp>
      <xdr:nvSpPr>
        <xdr:cNvPr id="5" name="Text 11"/>
        <xdr:cNvSpPr txBox="1">
          <a:spLocks noChangeArrowheads="1"/>
        </xdr:cNvSpPr>
      </xdr:nvSpPr>
      <xdr:spPr>
        <a:xfrm>
          <a:off x="609600" y="20240625"/>
          <a:ext cx="4876800" cy="24660225"/>
        </a:xfrm>
        <a:prstGeom prst="rect">
          <a:avLst/>
        </a:prstGeom>
        <a:solidFill>
          <a:srgbClr val="E3E3E3"/>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8000"/>
              </a:solidFill>
              <a:latin typeface="Arial"/>
              <a:ea typeface="Arial"/>
              <a:cs typeface="Arial"/>
            </a:rPr>
            <a:t>General Guidelines</a:t>
          </a:r>
          <a:r>
            <a:rPr lang="en-US" cap="none" sz="1000" b="1" i="0" u="none" baseline="0">
              <a:solidFill>
                <a:srgbClr val="008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The First Steps:</a:t>
          </a:r>
          <a:r>
            <a:rPr lang="en-US" cap="none" sz="1000" b="1" i="0" u="none" baseline="0">
              <a:solidFill>
                <a:srgbClr val="000000"/>
              </a:solidFill>
              <a:latin typeface="Arial"/>
              <a:ea typeface="Arial"/>
              <a:cs typeface="Arial"/>
            </a:rPr>
            <a:t> the first page of this spreadsheet deals with the population of game settings in the World of Mystara and cash taxes rulers can receive from their people and vassal states. First determine whether taxation should be low, medium, or high, since this will affect all income generated from then on. The default is Medium.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Low Tax Income</a:t>
          </a:r>
          <a:r>
            <a:rPr lang="en-US" cap="none" sz="1000" b="1" i="0" u="none" baseline="0">
              <a:solidFill>
                <a:srgbClr val="000000"/>
              </a:solidFill>
              <a:latin typeface="Arial"/>
              <a:ea typeface="Arial"/>
              <a:cs typeface="Arial"/>
            </a:rPr>
            <a:t> can be used as a tool to become popular with the people, or when a setting has suffered some catastrophe. Taxation should therefore be reduced to avoid inflicting undue hardship during recovery. Low income can become crippling to a ruler, especially when relying on direct taxes as the main source of income. Low income can be offset with the exploitation of natural resources (mines, fisheries) and with cash from tolls and port fees.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Medium Tax Income</a:t>
          </a:r>
          <a:r>
            <a:rPr lang="en-US" cap="none" sz="1000" b="1" i="0" u="none" baseline="0">
              <a:solidFill>
                <a:srgbClr val="000000"/>
              </a:solidFill>
              <a:latin typeface="Arial"/>
              <a:ea typeface="Arial"/>
              <a:cs typeface="Arial"/>
            </a:rPr>
            <a:t> is assumed to support the highest taxation without running too much of a risk that the population might revolt.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High Tax Income</a:t>
          </a:r>
          <a:r>
            <a:rPr lang="en-US" cap="none" sz="1000" b="1" i="0" u="none" baseline="0">
              <a:solidFill>
                <a:srgbClr val="000000"/>
              </a:solidFill>
              <a:latin typeface="Arial"/>
              <a:ea typeface="Arial"/>
              <a:cs typeface="Arial"/>
            </a:rPr>
            <a:t> can be used when cash is urgently needed. For example, trying to build a major monument or preparing for an imminent war would warrant this level of taxation. Exacting a high tax income increases the chances population may revolt. The game referee should carefully handle this part of the game, sparking events and problems for the ruler to solve. If the ruler succeeds, no revolt occurs, but the chances of a future uprising should keep increasing until taxation is reduced to a more reasonable level. If the ruler fails, a growing portion of the rural setting is likely to revolt. As the rural population takes arms, farmland is abandoned and urban population may starve as a result. This will likely spark riots in towns and cities. Rebels and rioters naturally do not generate taxes until the unrest is settled. Meanwhile if the ruler runs out of cash and food, armies may then desert, abandoning the land and its masters to chaos, death, and pestilence. Generally, this is an invitation for an invasion from an outside power, or the ultimate removal of the ruler.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Estimating Population:</a:t>
          </a:r>
          <a:r>
            <a:rPr lang="en-US" cap="none" sz="1000" b="1" i="0" u="none" baseline="0">
              <a:solidFill>
                <a:srgbClr val="000000"/>
              </a:solidFill>
              <a:latin typeface="Arial"/>
              <a:ea typeface="Arial"/>
              <a:cs typeface="Arial"/>
            </a:rPr>
            <a:t> Once the decision has been made on what level of taxation to choose, then comes the task of estimating the population. First identify all the different types of map hexes that exist in the setting, for example: 
</a:t>
          </a:r>
          <a:r>
            <a:rPr lang="en-US" cap="none" sz="1000" b="1"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Plain -- plain with a </a:t>
          </a:r>
          <a:r>
            <a:rPr lang="en-US" cap="none" sz="1000" b="1" i="1" u="none" baseline="0">
              <a:solidFill>
                <a:srgbClr val="0000FF"/>
              </a:solidFill>
              <a:latin typeface="Arial"/>
              <a:ea typeface="Arial"/>
              <a:cs typeface="Arial"/>
            </a:rPr>
            <a:t>river</a:t>
          </a:r>
          <a:r>
            <a:rPr lang="en-US" cap="none" sz="1000" b="1" i="1" u="none" baseline="0">
              <a:solidFill>
                <a:srgbClr val="000000"/>
              </a:solidFill>
              <a:latin typeface="Arial"/>
              <a:ea typeface="Arial"/>
              <a:cs typeface="Arial"/>
            </a:rPr>
            <a:t>, plain with a </a:t>
          </a:r>
          <a:r>
            <a:rPr lang="en-US" cap="none" sz="1000" b="1" i="1" u="none" baseline="0">
              <a:solidFill>
                <a:srgbClr val="339933"/>
              </a:solidFill>
              <a:latin typeface="Arial"/>
              <a:ea typeface="Arial"/>
              <a:cs typeface="Arial"/>
            </a:rPr>
            <a:t>forest</a:t>
          </a:r>
          <a:r>
            <a:rPr lang="en-US" cap="none" sz="1000" b="1"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Hill -- hill with a </a:t>
          </a:r>
          <a:r>
            <a:rPr lang="en-US" cap="none" sz="1000" b="1" i="1" u="none" baseline="0">
              <a:solidFill>
                <a:srgbClr val="0000FF"/>
              </a:solidFill>
              <a:latin typeface="Arial"/>
              <a:ea typeface="Arial"/>
              <a:cs typeface="Arial"/>
            </a:rPr>
            <a:t>river</a:t>
          </a:r>
          <a:r>
            <a:rPr lang="en-US" cap="none" sz="1000" b="1" i="1" u="none" baseline="0">
              <a:solidFill>
                <a:srgbClr val="000000"/>
              </a:solidFill>
              <a:latin typeface="Arial"/>
              <a:ea typeface="Arial"/>
              <a:cs typeface="Arial"/>
            </a:rPr>
            <a:t>, hill with a </a:t>
          </a:r>
          <a:r>
            <a:rPr lang="en-US" cap="none" sz="1000" b="1" i="1" u="none" baseline="0">
              <a:solidFill>
                <a:srgbClr val="339933"/>
              </a:solidFill>
              <a:latin typeface="Arial"/>
              <a:ea typeface="Arial"/>
              <a:cs typeface="Arial"/>
            </a:rPr>
            <a:t>forest</a:t>
          </a:r>
          <a:r>
            <a:rPr lang="en-US" cap="none" sz="1000" b="1" i="1" u="none" baseline="0">
              <a:solidFill>
                <a:srgbClr val="000000"/>
              </a:solidFill>
              <a:latin typeface="Arial"/>
              <a:ea typeface="Arial"/>
              <a:cs typeface="Arial"/>
            </a:rPr>
            <a:t> </a:t>
          </a:r>
          <a:r>
            <a:rPr lang="en-US" cap="none" sz="1000" b="1" i="1" u="sng" baseline="0">
              <a:solidFill>
                <a:srgbClr val="000000"/>
              </a:solidFill>
              <a:latin typeface="Arial"/>
              <a:ea typeface="Arial"/>
              <a:cs typeface="Arial"/>
            </a:rPr>
            <a:t>and</a:t>
          </a:r>
          <a:r>
            <a:rPr lang="en-US" cap="none" sz="1000" b="1" i="1" u="none" baseline="0">
              <a:solidFill>
                <a:srgbClr val="000000"/>
              </a:solidFill>
              <a:latin typeface="Arial"/>
              <a:ea typeface="Arial"/>
              <a:cs typeface="Arial"/>
            </a:rPr>
            <a:t> a </a:t>
          </a:r>
          <a:r>
            <a:rPr lang="en-US" cap="none" sz="1000" b="1" i="1" u="none" baseline="0">
              <a:solidFill>
                <a:srgbClr val="0000FF"/>
              </a:solidFill>
              <a:latin typeface="Arial"/>
              <a:ea typeface="Arial"/>
              <a:cs typeface="Arial"/>
            </a:rPr>
            <a:t>river</a:t>
          </a:r>
          <a:r>
            <a:rPr lang="en-US" cap="none" sz="1000" b="1" i="1" u="none" baseline="0">
              <a:solidFill>
                <a:srgbClr val="000000"/>
              </a:solidFill>
              <a:latin typeface="Arial"/>
              <a:ea typeface="Arial"/>
              <a:cs typeface="Arial"/>
            </a:rPr>
            <a:t>, etc…</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There are five population grids: </a:t>
          </a:r>
          <a:r>
            <a:rPr lang="en-US" cap="none" sz="1000" b="1" i="0" u="none" baseline="0">
              <a:solidFill>
                <a:srgbClr val="008000"/>
              </a:solidFill>
              <a:latin typeface="Arial"/>
              <a:ea typeface="Arial"/>
              <a:cs typeface="Arial"/>
            </a:rPr>
            <a:t>Plains</a:t>
          </a:r>
          <a:r>
            <a:rPr lang="en-US" cap="none" sz="1000" b="1" i="0" u="none" baseline="0">
              <a:solidFill>
                <a:srgbClr val="000000"/>
              </a:solidFill>
              <a:latin typeface="Arial"/>
              <a:ea typeface="Arial"/>
              <a:cs typeface="Arial"/>
            </a:rPr>
            <a:t> (flat terrain), </a:t>
          </a:r>
          <a:r>
            <a:rPr lang="en-US" cap="none" sz="1000" b="1" i="0" u="none" baseline="0">
              <a:solidFill>
                <a:srgbClr val="FF8080"/>
              </a:solidFill>
              <a:latin typeface="Arial"/>
              <a:ea typeface="Arial"/>
              <a:cs typeface="Arial"/>
            </a:rPr>
            <a:t>Hills</a:t>
          </a:r>
          <a:r>
            <a:rPr lang="en-US" cap="none" sz="1000" b="1"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Mountains</a:t>
          </a:r>
          <a:r>
            <a:rPr lang="en-US" cap="none" sz="1000" b="1" i="0" u="none" baseline="0">
              <a:solidFill>
                <a:srgbClr val="000000"/>
              </a:solidFill>
              <a:latin typeface="Arial"/>
              <a:ea typeface="Arial"/>
              <a:cs typeface="Arial"/>
            </a:rPr>
            <a:t>, </a:t>
          </a:r>
          <a:r>
            <a:rPr lang="en-US" cap="none" sz="1000" b="1" i="0" u="none" baseline="0">
              <a:solidFill>
                <a:srgbClr val="008080"/>
              </a:solidFill>
              <a:latin typeface="Arial"/>
              <a:ea typeface="Arial"/>
              <a:cs typeface="Arial"/>
            </a:rPr>
            <a:t>Badlands</a:t>
          </a:r>
          <a:r>
            <a:rPr lang="en-US" cap="none" sz="1000" b="1" i="0" u="none" baseline="0">
              <a:solidFill>
                <a:srgbClr val="000000"/>
              </a:solidFill>
              <a:latin typeface="Arial"/>
              <a:ea typeface="Arial"/>
              <a:cs typeface="Arial"/>
            </a:rPr>
            <a:t>, and </a:t>
          </a:r>
          <a:r>
            <a:rPr lang="en-US" cap="none" sz="1000" b="1" i="0" u="none" baseline="0">
              <a:solidFill>
                <a:srgbClr val="FFFF00"/>
              </a:solidFill>
              <a:latin typeface="Arial"/>
              <a:ea typeface="Arial"/>
              <a:cs typeface="Arial"/>
            </a:rPr>
            <a:t>Desert</a:t>
          </a:r>
          <a:r>
            <a:rPr lang="en-US" cap="none" sz="1000" b="1" i="0" u="none" baseline="0">
              <a:solidFill>
                <a:srgbClr val="000000"/>
              </a:solidFill>
              <a:latin typeface="Arial"/>
              <a:ea typeface="Arial"/>
              <a:cs typeface="Arial"/>
            </a:rPr>
            <a:t>. Count each of the terrain types and list them in the appropriate population grids typing a "y" each time a terrain feature exists (see sample already listed).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At the top of each column, enter the </a:t>
          </a:r>
          <a:r>
            <a:rPr lang="en-US" cap="none" sz="1000" b="1" i="0" u="none" baseline="0">
              <a:solidFill>
                <a:srgbClr val="FF0000"/>
              </a:solidFill>
              <a:latin typeface="Arial"/>
              <a:ea typeface="Arial"/>
              <a:cs typeface="Arial"/>
            </a:rPr>
            <a:t>number of hexes</a:t>
          </a:r>
          <a:r>
            <a:rPr lang="en-US" cap="none" sz="1000" b="1" i="0" u="none" baseline="0">
              <a:solidFill>
                <a:srgbClr val="000000"/>
              </a:solidFill>
              <a:latin typeface="Arial"/>
              <a:ea typeface="Arial"/>
              <a:cs typeface="Arial"/>
            </a:rPr>
            <a:t> featuring these various terrain types. Next, indicate at the bottom of each column what general </a:t>
          </a:r>
          <a:r>
            <a:rPr lang="en-US" cap="none" sz="1000" b="1" i="0" u="none" baseline="0">
              <a:solidFill>
                <a:srgbClr val="802060"/>
              </a:solidFill>
              <a:latin typeface="Arial"/>
              <a:ea typeface="Arial"/>
              <a:cs typeface="Arial"/>
            </a:rPr>
            <a:t>Population Level</a:t>
          </a:r>
          <a:r>
            <a:rPr lang="en-US" cap="none" sz="1000" b="1" i="0" u="none" baseline="0">
              <a:solidFill>
                <a:srgbClr val="000000"/>
              </a:solidFill>
              <a:latin typeface="Arial"/>
              <a:ea typeface="Arial"/>
              <a:cs typeface="Arial"/>
            </a:rPr>
            <a:t> these hexes belong to (Wilderness, Borderland, Settled, or Suburban), entering a "y" on the appropriate line. It may be necessary to list in separate columns hexes with the same type of terrain if they have different Population Levels. For example, a dominion could cover a few hexes of settled plains, while the rest of the dominion's plains should be counted as Borderland. Certain types of terrain can never support more than Borderland Population level (any </a:t>
          </a:r>
          <a:r>
            <a:rPr lang="en-US" cap="none" sz="1000" b="1" i="0" u="none" baseline="0">
              <a:solidFill>
                <a:srgbClr val="008080"/>
              </a:solidFill>
              <a:latin typeface="Arial"/>
              <a:ea typeface="Arial"/>
              <a:cs typeface="Arial"/>
            </a:rPr>
            <a:t>badlands</a:t>
          </a:r>
          <a:r>
            <a:rPr lang="en-US" cap="none" sz="1000" b="1" i="0" u="none" baseline="0">
              <a:solidFill>
                <a:srgbClr val="000000"/>
              </a:solidFill>
              <a:latin typeface="Arial"/>
              <a:ea typeface="Arial"/>
              <a:cs typeface="Arial"/>
            </a:rPr>
            <a:t>, </a:t>
          </a:r>
          <a:r>
            <a:rPr lang="en-US" cap="none" sz="1000" b="1" i="0" u="none" baseline="0">
              <a:solidFill>
                <a:srgbClr val="FFFF00"/>
              </a:solidFill>
              <a:latin typeface="Arial"/>
              <a:ea typeface="Arial"/>
              <a:cs typeface="Arial"/>
            </a:rPr>
            <a:t>desert</a:t>
          </a:r>
          <a:r>
            <a:rPr lang="en-US" cap="none" sz="1000" b="1" i="0" u="none" baseline="0">
              <a:solidFill>
                <a:srgbClr val="000000"/>
              </a:solidFill>
              <a:latin typeface="Arial"/>
              <a:ea typeface="Arial"/>
              <a:cs typeface="Arial"/>
            </a:rPr>
            <a:t>, </a:t>
          </a:r>
          <a:r>
            <a:rPr lang="en-US" cap="none" sz="1000" b="1" i="0" u="none" baseline="0">
              <a:solidFill>
                <a:srgbClr val="802060"/>
              </a:solidFill>
              <a:latin typeface="Arial"/>
              <a:ea typeface="Arial"/>
              <a:cs typeface="Arial"/>
            </a:rPr>
            <a:t>mountain</a:t>
          </a:r>
          <a:r>
            <a:rPr lang="en-US" cap="none" sz="1000" b="1" i="0" u="none" baseline="0">
              <a:solidFill>
                <a:srgbClr val="000000"/>
              </a:solidFill>
              <a:latin typeface="Arial"/>
              <a:ea typeface="Arial"/>
              <a:cs typeface="Arial"/>
            </a:rPr>
            <a:t>, or </a:t>
          </a:r>
          <a:r>
            <a:rPr lang="en-US" cap="none" sz="1000" b="1" i="0" u="none" baseline="0">
              <a:solidFill>
                <a:srgbClr val="339933"/>
              </a:solidFill>
              <a:latin typeface="Arial"/>
              <a:ea typeface="Arial"/>
              <a:cs typeface="Arial"/>
            </a:rPr>
            <a:t>forested</a:t>
          </a:r>
          <a:r>
            <a:rPr lang="en-US" cap="none" sz="1000" b="1" i="0" u="none" baseline="0">
              <a:solidFill>
                <a:srgbClr val="000000"/>
              </a:solidFill>
              <a:latin typeface="Arial"/>
              <a:ea typeface="Arial"/>
              <a:cs typeface="Arial"/>
            </a:rPr>
            <a:t> hexes).
</a:t>
          </a:r>
          <a:r>
            <a:rPr lang="en-US" cap="none" sz="1000" b="1" i="0" u="none" baseline="0">
              <a:solidFill>
                <a:srgbClr val="000000"/>
              </a:solidFill>
              <a:latin typeface="Arial"/>
              <a:ea typeface="Arial"/>
              <a:cs typeface="Arial"/>
            </a:rPr>
            <a:t>
</a:t>
          </a:r>
          <a:r>
            <a:rPr lang="en-US" cap="none" sz="1000" b="1" i="0" u="none" baseline="0">
              <a:solidFill>
                <a:srgbClr val="802060"/>
              </a:solidFill>
              <a:latin typeface="Arial"/>
              <a:ea typeface="Arial"/>
              <a:cs typeface="Arial"/>
            </a:rPr>
            <a:t>Wilderness</a:t>
          </a:r>
          <a:r>
            <a:rPr lang="en-US" cap="none" sz="1000" b="1" i="0" u="none" baseline="0">
              <a:solidFill>
                <a:srgbClr val="000000"/>
              </a:solidFill>
              <a:latin typeface="Arial"/>
              <a:ea typeface="Arial"/>
              <a:cs typeface="Arial"/>
            </a:rPr>
            <a:t> areas are scarcely populated areas, like deserts, jungles, etc. They yield no tax. </a:t>
          </a:r>
          <a:r>
            <a:rPr lang="en-US" cap="none" sz="1000" b="1" i="0" u="none" baseline="0">
              <a:solidFill>
                <a:srgbClr val="802060"/>
              </a:solidFill>
              <a:latin typeface="Arial"/>
              <a:ea typeface="Arial"/>
              <a:cs typeface="Arial"/>
            </a:rPr>
            <a:t>Borderlands</a:t>
          </a:r>
          <a:r>
            <a:rPr lang="en-US" cap="none" sz="1000" b="1" i="0" u="none" baseline="0">
              <a:solidFill>
                <a:srgbClr val="000000"/>
              </a:solidFill>
              <a:latin typeface="Arial"/>
              <a:ea typeface="Arial"/>
              <a:cs typeface="Arial"/>
            </a:rPr>
            <a:t> are areas with low population and little law enforcement, monster activity, and potential invasion risks (typical spots for new dominions and adventures). They produce some tax. </a:t>
          </a:r>
          <a:r>
            <a:rPr lang="en-US" cap="none" sz="1000" b="1" i="0" u="none" baseline="0">
              <a:solidFill>
                <a:srgbClr val="802060"/>
              </a:solidFill>
              <a:latin typeface="Arial"/>
              <a:ea typeface="Arial"/>
              <a:cs typeface="Arial"/>
            </a:rPr>
            <a:t>Settled lands</a:t>
          </a:r>
          <a:r>
            <a:rPr lang="en-US" cap="none" sz="1000" b="1" i="0" u="none" baseline="0">
              <a:solidFill>
                <a:srgbClr val="000000"/>
              </a:solidFill>
              <a:latin typeface="Arial"/>
              <a:ea typeface="Arial"/>
              <a:cs typeface="Arial"/>
            </a:rPr>
            <a:t> are farmland dotted with villages and hamlets. Taxes can easily be collected and the land is fairly secure. </a:t>
          </a:r>
          <a:r>
            <a:rPr lang="en-US" cap="none" sz="1000" b="1" i="0" u="none" baseline="0">
              <a:solidFill>
                <a:srgbClr val="802060"/>
              </a:solidFill>
              <a:latin typeface="Arial"/>
              <a:ea typeface="Arial"/>
              <a:cs typeface="Arial"/>
            </a:rPr>
            <a:t>Suburban</a:t>
          </a:r>
          <a:r>
            <a:rPr lang="en-US" cap="none" sz="1000" b="1" i="0" u="none" baseline="0">
              <a:solidFill>
                <a:srgbClr val="000000"/>
              </a:solidFill>
              <a:latin typeface="Arial"/>
              <a:ea typeface="Arial"/>
              <a:cs typeface="Arial"/>
            </a:rPr>
            <a:t> population should only be allocated to those hexes containing a city (15,000+ inhabitants). They include lands with a high number of villages clustered near a city, which maps cannot show due to scale limitations. Suburbs yield the highest amount of tax income from rural population.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Rural tax income is calculated automatically for each type of terrain hex. It is important to remember that the population grids are designed for 8-mile hexes. For maps with a larger scale, use the guidelines provided for Hex Conversions. Be careful with hex conversions, especially when rivers, coastlines, trails, and roads are concerned. For example, a 24-mile hex is roughly equal to nine 8-mile hexes. If a road crosses through that 24-mile hex, it's really only three 8-mile hexes that contain a road, not all nine of them. 
</a:t>
          </a:r>
          <a:r>
            <a:rPr lang="en-US" cap="none" sz="1000" b="1" i="0" u="none" baseline="0">
              <a:solidFill>
                <a:srgbClr val="000000"/>
              </a:solidFill>
              <a:latin typeface="Arial"/>
              <a:ea typeface="Arial"/>
              <a:cs typeface="Arial"/>
            </a:rPr>
            <a:t>
</a:t>
          </a:r>
          <a:r>
            <a:rPr lang="en-US" cap="none" sz="1000" b="1" i="0" u="none" baseline="0">
              <a:solidFill>
                <a:srgbClr val="800080"/>
              </a:solidFill>
              <a:latin typeface="Arial"/>
              <a:ea typeface="Arial"/>
              <a:cs typeface="Arial"/>
            </a:rPr>
            <a:t>Non-Farming</a:t>
          </a:r>
          <a:r>
            <a:rPr lang="en-US" cap="none" sz="1000" b="1" i="0" u="none" baseline="0">
              <a:solidFill>
                <a:srgbClr val="000000"/>
              </a:solidFill>
              <a:latin typeface="Arial"/>
              <a:ea typeface="Arial"/>
              <a:cs typeface="Arial"/>
            </a:rPr>
            <a:t> </a:t>
          </a:r>
          <a:r>
            <a:rPr lang="en-US" cap="none" sz="1000" b="1" i="0" u="none" baseline="0">
              <a:solidFill>
                <a:srgbClr val="800080"/>
              </a:solidFill>
              <a:latin typeface="Arial"/>
              <a:ea typeface="Arial"/>
              <a:cs typeface="Arial"/>
            </a:rPr>
            <a:t>Population</a:t>
          </a:r>
          <a:r>
            <a:rPr lang="en-US" cap="none" sz="1000" b="1" i="0" u="none" baseline="0">
              <a:solidFill>
                <a:srgbClr val="000000"/>
              </a:solidFill>
              <a:latin typeface="Arial"/>
              <a:ea typeface="Arial"/>
              <a:cs typeface="Arial"/>
            </a:rPr>
            <a:t> follows next. Before tackling the urban centers, some natural resources may need to be handled separately. For example mining operations involve workers who come in addition to the rest of the population. Select the types of mines existing in the setting, and the size of the mines. Don't forget to recopy the number of miners into the </a:t>
          </a:r>
          <a:r>
            <a:rPr lang="en-US" cap="none" sz="1000" b="1" i="0" u="none" baseline="0">
              <a:solidFill>
                <a:srgbClr val="800080"/>
              </a:solidFill>
              <a:latin typeface="Arial"/>
              <a:ea typeface="Arial"/>
              <a:cs typeface="Arial"/>
            </a:rPr>
            <a:t>Towns Chart</a:t>
          </a:r>
          <a:r>
            <a:rPr lang="en-US" cap="none" sz="1000" b="1" i="0" u="none" baseline="0">
              <a:solidFill>
                <a:srgbClr val="000000"/>
              </a:solidFill>
              <a:latin typeface="Arial"/>
              <a:ea typeface="Arial"/>
              <a:cs typeface="Arial"/>
            </a:rPr>
            <a:t>. A separate box is available to enter some additional income that isn't available on the spreadsheet. List the nature of the income, the amount of cash generated (in gp/month), and the number of people involved if they should come in addition to the rest of the population. Recopy the number of people into the </a:t>
          </a:r>
          <a:r>
            <a:rPr lang="en-US" cap="none" sz="1000" b="1" i="0" u="none" baseline="0">
              <a:solidFill>
                <a:srgbClr val="800080"/>
              </a:solidFill>
              <a:latin typeface="Arial"/>
              <a:ea typeface="Arial"/>
              <a:cs typeface="Arial"/>
            </a:rPr>
            <a:t>Towns Chart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800080"/>
              </a:solidFill>
              <a:latin typeface="Arial"/>
              <a:ea typeface="Arial"/>
              <a:cs typeface="Arial"/>
            </a:rPr>
            <a:t>Urban Population</a:t>
          </a:r>
          <a:r>
            <a:rPr lang="en-US" cap="none" sz="1000" b="1" i="0" u="none" baseline="0">
              <a:solidFill>
                <a:srgbClr val="000000"/>
              </a:solidFill>
              <a:latin typeface="Arial"/>
              <a:ea typeface="Arial"/>
              <a:cs typeface="Arial"/>
            </a:rPr>
            <a:t> comes next. List all the villages, towns, and cities of the setting. The default file comes with an example of game setting, with some some mining exploitations and miscellaneous urban entries. Have a look at the way they are listed before hitting the reset button. Urban centers are defined as follows: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Villages:               50-1,000 people
</a:t>
          </a:r>
          <a:r>
            <a:rPr lang="en-US" cap="none" sz="1000" b="1" i="0" u="none" baseline="0">
              <a:solidFill>
                <a:srgbClr val="000000"/>
              </a:solidFill>
              <a:latin typeface="Arial"/>
              <a:ea typeface="Arial"/>
              <a:cs typeface="Arial"/>
            </a:rPr>
            <a:t>Small Towns:   1,001-4,999 people
</a:t>
          </a:r>
          <a:r>
            <a:rPr lang="en-US" cap="none" sz="1000" b="1" i="0" u="none" baseline="0">
              <a:solidFill>
                <a:srgbClr val="000000"/>
              </a:solidFill>
              <a:latin typeface="Arial"/>
              <a:ea typeface="Arial"/>
              <a:cs typeface="Arial"/>
            </a:rPr>
            <a:t>Large Towns:   5,000-14,999 people
</a:t>
          </a:r>
          <a:r>
            <a:rPr lang="en-US" cap="none" sz="1000" b="1" i="0" u="none" baseline="0">
              <a:solidFill>
                <a:srgbClr val="000000"/>
              </a:solidFill>
              <a:latin typeface="Arial"/>
              <a:ea typeface="Arial"/>
              <a:cs typeface="Arial"/>
            </a:rPr>
            <a:t>Cities:             15,000+ people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distinction is important because taxation in these centers differs according to their sizes. The larger centers are generally more affluent and commerce is more important there. Tax income his higher there since business is taxed as well. Urban centers can fit withing two categories: the ones that rely to some degree on fishing (located on lakes, major rivers, or on a coast), and the others. The fishing centers are entered at the bottom of the </a:t>
          </a:r>
          <a:r>
            <a:rPr lang="en-US" cap="none" sz="1000" b="1" i="0" u="none" baseline="0">
              <a:solidFill>
                <a:srgbClr val="800080"/>
              </a:solidFill>
              <a:latin typeface="Arial"/>
              <a:ea typeface="Arial"/>
              <a:cs typeface="Arial"/>
            </a:rPr>
            <a:t>Towns Chart</a:t>
          </a:r>
          <a:r>
            <a:rPr lang="en-US" cap="none" sz="1000" b="1" i="0" u="none" baseline="0">
              <a:solidFill>
                <a:srgbClr val="000000"/>
              </a:solidFill>
              <a:latin typeface="Arial"/>
              <a:ea typeface="Arial"/>
              <a:cs typeface="Arial"/>
            </a:rPr>
            <a:t>.  Type the name of the place in the first column. Enter the population in the next column if it is a village, or in the third column for a small, town, etc.  A separate column is available for the military. More is explained later on the military. Another column is available for people other than townsfolk (generally those who don't pay taxes -- for example: miners, clergymen, slaves, convicts, etc). The </a:t>
          </a:r>
          <a:r>
            <a:rPr lang="en-US" cap="none" sz="1000" b="1" i="0" u="none" baseline="0">
              <a:solidFill>
                <a:srgbClr val="800080"/>
              </a:solidFill>
              <a:latin typeface="Arial"/>
              <a:ea typeface="Arial"/>
              <a:cs typeface="Arial"/>
            </a:rPr>
            <a:t>Towns Chart</a:t>
          </a:r>
          <a:r>
            <a:rPr lang="en-US" cap="none" sz="1000" b="1" i="0" u="none" baseline="0">
              <a:solidFill>
                <a:srgbClr val="000000"/>
              </a:solidFill>
              <a:latin typeface="Arial"/>
              <a:ea typeface="Arial"/>
              <a:cs typeface="Arial"/>
            </a:rPr>
            <a:t> is flexible enough to allow the listing of mining centers or military forts that have no urban population. 
</a:t>
          </a:r>
          <a:r>
            <a:rPr lang="en-US" cap="none" sz="1000" b="1" i="0" u="none" baseline="0">
              <a:solidFill>
                <a:srgbClr val="000000"/>
              </a:solidFill>
              <a:latin typeface="Arial"/>
              <a:ea typeface="Arial"/>
              <a:cs typeface="Arial"/>
            </a:rPr>
            <a:t>
</a:t>
          </a:r>
          <a:r>
            <a:rPr lang="en-US" cap="none" sz="1000" b="1" i="0" u="none" baseline="0">
              <a:solidFill>
                <a:srgbClr val="800080"/>
              </a:solidFill>
              <a:latin typeface="Arial"/>
              <a:ea typeface="Arial"/>
              <a:cs typeface="Arial"/>
            </a:rPr>
            <a:t>Generic Villages:</a:t>
          </a:r>
          <a:r>
            <a:rPr lang="en-US" cap="none" sz="1000" b="1" i="0" u="none" baseline="0">
              <a:solidFill>
                <a:srgbClr val="000000"/>
              </a:solidFill>
              <a:latin typeface="Arial"/>
              <a:ea typeface="Arial"/>
              <a:cs typeface="Arial"/>
            </a:rPr>
            <a:t> depending on the scale of the setting, it may not be practical to list every single village (or small town). In the case of "generic villages", it is best to enter a single line for all of them, labelled for example "Villages (x20)". Then enter the total number of villagers for all 20 villages. In settled lands it is fair to  assume there is one average-sized village per 24-mile hex, or a village for every 9 eight-mile hexes, or 9 villages per 72-mile hex. Small towns of average size should be added at the rate of one town for every ten villages. For borderlands, the presence of villages and small towns should be two-thirds less. For wilderness, any such center should be listed individually since they are exceptions. Military forts can also be listed the same way to help spread out armed forces controlling the land.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Enter the number of trails or roads that connect to these urban centers if tolls are collected at the gates. This applies to specific centers, but can be entered for generic villages as well (list only the average number of connecting trails or roads in this case).
</a:t>
          </a:r>
          <a:r>
            <a:rPr lang="en-US" cap="none" sz="1000" b="1"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Sea-Faring Population:</a:t>
          </a:r>
          <a:r>
            <a:rPr lang="en-US" cap="none" sz="1000" b="1" i="0" u="none" baseline="0">
              <a:solidFill>
                <a:srgbClr val="000000"/>
              </a:solidFill>
              <a:latin typeface="Arial"/>
              <a:ea typeface="Arial"/>
              <a:cs typeface="Arial"/>
            </a:rPr>
            <a:t> it is the final step defining populations and tax income. Sea-faring ability is either low, medium, or high. If low, fewer urban people will rely on fishing as a source of food. If high, a greater number of people will, especially in the smaller urban centers. Fishing also is a source of income for the ruler.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Population and the tax income are then automatically added together, and summarized in the next few boxes.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The Military</a:t>
          </a:r>
          <a:r>
            <a:rPr lang="en-US" cap="none" sz="1000" b="1" i="0" u="none" baseline="0">
              <a:solidFill>
                <a:srgbClr val="000000"/>
              </a:solidFill>
              <a:latin typeface="Arial"/>
              <a:ea typeface="Arial"/>
              <a:cs typeface="Arial"/>
            </a:rPr>
            <a:t> requires a two-step process. The amount of troops that can really be used depends directly upon the wealth available to the ruler commanding them. Although it's fine entering military numbers up front into the </a:t>
          </a:r>
          <a:r>
            <a:rPr lang="en-US" cap="none" sz="1000" b="1" i="0" u="none" baseline="0">
              <a:solidFill>
                <a:srgbClr val="802060"/>
              </a:solidFill>
              <a:latin typeface="Arial"/>
              <a:ea typeface="Arial"/>
              <a:cs typeface="Arial"/>
            </a:rPr>
            <a:t>Towns Chart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they will need to be revised later on. Budgets are near the bottom of the first worksheet. Armies can then be further detailed on the third worksheet. As a result of budget considerations and the exact mix of troops and their experience levels, the number of troops will vary. Once the military has been properly defined on the third worksheet, the total number of troops automatically appears near the bottom of the </a:t>
          </a:r>
          <a:r>
            <a:rPr lang="en-US" cap="none" sz="1000" b="1" i="0" u="none" baseline="0">
              <a:solidFill>
                <a:srgbClr val="802060"/>
              </a:solidFill>
              <a:latin typeface="Arial"/>
              <a:ea typeface="Arial"/>
              <a:cs typeface="Arial"/>
            </a:rPr>
            <a:t>Towns Chart</a:t>
          </a:r>
          <a:r>
            <a:rPr lang="en-US" cap="none" sz="1000" b="1" i="0" u="none" baseline="0">
              <a:solidFill>
                <a:srgbClr val="000000"/>
              </a:solidFill>
              <a:latin typeface="Arial"/>
              <a:ea typeface="Arial"/>
              <a:cs typeface="Arial"/>
            </a:rPr>
            <a:t>. If troop numbers had already been entered into the </a:t>
          </a:r>
          <a:r>
            <a:rPr lang="en-US" cap="none" sz="1000" b="1" i="0" u="none" baseline="0">
              <a:solidFill>
                <a:srgbClr val="802060"/>
              </a:solidFill>
              <a:latin typeface="Arial"/>
              <a:ea typeface="Arial"/>
              <a:cs typeface="Arial"/>
            </a:rPr>
            <a:t>Towns Chart</a:t>
          </a:r>
          <a:r>
            <a:rPr lang="en-US" cap="none" sz="1000" b="1" i="0" u="none" baseline="0">
              <a:solidFill>
                <a:srgbClr val="000000"/>
              </a:solidFill>
              <a:latin typeface="Arial"/>
              <a:ea typeface="Arial"/>
              <a:cs typeface="Arial"/>
            </a:rPr>
            <a:t>, they will need to be changed accordingly. This may require a series of small adjustments since military garrisons do have an impact on road tolls.
</a:t>
          </a:r>
          <a:r>
            <a:rPr lang="en-US" cap="none" sz="1000" b="1" i="0" u="none" baseline="0">
              <a:solidFill>
                <a:srgbClr val="000000"/>
              </a:solidFill>
              <a:latin typeface="Arial"/>
              <a:ea typeface="Arial"/>
              <a:cs typeface="Arial"/>
            </a:rPr>
            <a:t>
</a:t>
          </a:r>
        </a:p>
      </xdr:txBody>
    </xdr:sp>
    <xdr:clientData/>
  </xdr:twoCellAnchor>
  <xdr:twoCellAnchor>
    <xdr:from>
      <xdr:col>0</xdr:col>
      <xdr:colOff>600075</xdr:colOff>
      <xdr:row>281</xdr:row>
      <xdr:rowOff>19050</xdr:rowOff>
    </xdr:from>
    <xdr:to>
      <xdr:col>8</xdr:col>
      <xdr:colOff>600075</xdr:colOff>
      <xdr:row>417</xdr:row>
      <xdr:rowOff>9525</xdr:rowOff>
    </xdr:to>
    <xdr:sp>
      <xdr:nvSpPr>
        <xdr:cNvPr id="6" name="Text 19"/>
        <xdr:cNvSpPr txBox="1">
          <a:spLocks noChangeArrowheads="1"/>
        </xdr:cNvSpPr>
      </xdr:nvSpPr>
      <xdr:spPr>
        <a:xfrm>
          <a:off x="600075" y="45519975"/>
          <a:ext cx="4876800" cy="22012275"/>
        </a:xfrm>
        <a:prstGeom prst="rect">
          <a:avLst/>
        </a:prstGeom>
        <a:solidFill>
          <a:srgbClr val="E3E3E3"/>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8000"/>
              </a:solidFill>
              <a:latin typeface="Arial"/>
              <a:ea typeface="Arial"/>
              <a:cs typeface="Arial"/>
            </a:rPr>
            <a:t>Road Builder, Overview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worksheet suggests a way to build roads and bridges. For either roads or bridges, fill out the first five boxes. </a:t>
          </a:r>
          <a:r>
            <a:rPr lang="en-US" cap="none" sz="1000" b="1" i="0" u="none" baseline="0">
              <a:solidFill>
                <a:srgbClr val="663300"/>
              </a:solidFill>
              <a:latin typeface="Arial"/>
              <a:ea typeface="Arial"/>
              <a:cs typeface="Arial"/>
            </a:rPr>
            <a:t>Project Scope, Map Scale</a:t>
          </a:r>
          <a:r>
            <a:rPr lang="en-US" cap="none" sz="1000" b="1" i="0" u="none" baseline="0">
              <a:solidFill>
                <a:srgbClr val="000000"/>
              </a:solidFill>
              <a:latin typeface="Arial"/>
              <a:ea typeface="Arial"/>
              <a:cs typeface="Arial"/>
            </a:rPr>
            <a:t>, and </a:t>
          </a:r>
          <a:r>
            <a:rPr lang="en-US" cap="none" sz="1000" b="1" i="0" u="none" baseline="0">
              <a:solidFill>
                <a:srgbClr val="008000"/>
              </a:solidFill>
              <a:latin typeface="Arial"/>
              <a:ea typeface="Arial"/>
              <a:cs typeface="Arial"/>
            </a:rPr>
            <a:t>Terrain Types</a:t>
          </a:r>
          <a:r>
            <a:rPr lang="en-US" cap="none" sz="1000" b="1" i="0" u="none" baseline="0">
              <a:solidFill>
                <a:srgbClr val="000000"/>
              </a:solidFill>
              <a:latin typeface="Arial"/>
              <a:ea typeface="Arial"/>
              <a:cs typeface="Arial"/>
            </a:rPr>
            <a:t> apply only to road building. For </a:t>
          </a:r>
          <a:r>
            <a:rPr lang="en-US" cap="none" sz="1000" b="1" i="0" u="none" baseline="0">
              <a:solidFill>
                <a:srgbClr val="008000"/>
              </a:solidFill>
              <a:latin typeface="Arial"/>
              <a:ea typeface="Arial"/>
              <a:cs typeface="Arial"/>
            </a:rPr>
            <a:t>Terrain Types</a:t>
          </a:r>
          <a:r>
            <a:rPr lang="en-US" cap="none" sz="1000" b="1" i="0" u="none" baseline="0">
              <a:solidFill>
                <a:srgbClr val="000000"/>
              </a:solidFill>
              <a:latin typeface="Arial"/>
              <a:ea typeface="Arial"/>
              <a:cs typeface="Arial"/>
            </a:rPr>
            <a:t>, enter the number of hexes for each of the terrain type combinations, much as is done in the Population &amp; Income worksheet earlier. For bridges, select the width of the river and of the bridge, the bridge's style, and whether it has a drawbridge.
</a:t>
          </a:r>
          <a:r>
            <a:rPr lang="en-US" cap="none" sz="1000" b="1"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Leadership &amp; Organization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category reflects the ability of concentrating workers and managing them and their supplies efficiently. </a:t>
          </a:r>
          <a:r>
            <a:rPr lang="en-US" cap="none" sz="1000" b="1" i="0" u="none" baseline="0">
              <a:solidFill>
                <a:srgbClr val="0000FF"/>
              </a:solidFill>
              <a:latin typeface="Arial"/>
              <a:ea typeface="Arial"/>
              <a:cs typeface="Arial"/>
            </a:rPr>
            <a:t>"Fair"</a:t>
          </a:r>
          <a:r>
            <a:rPr lang="en-US" cap="none" sz="1000" b="1" i="0" u="none" baseline="0">
              <a:solidFill>
                <a:srgbClr val="000000"/>
              </a:solidFill>
              <a:latin typeface="Arial"/>
              <a:ea typeface="Arial"/>
              <a:cs typeface="Arial"/>
            </a:rPr>
            <a:t> corresponds to a setting inspired from real world Dark Ages. </a:t>
          </a:r>
          <a:r>
            <a:rPr lang="en-US" cap="none" sz="1000" b="1" i="0" u="none" baseline="0">
              <a:solidFill>
                <a:srgbClr val="0000FF"/>
              </a:solidFill>
              <a:latin typeface="Arial"/>
              <a:ea typeface="Arial"/>
              <a:cs typeface="Arial"/>
            </a:rPr>
            <a:t>"Average"</a:t>
          </a:r>
          <a:r>
            <a:rPr lang="en-US" cap="none" sz="1000" b="1" i="0" u="none" baseline="0">
              <a:solidFill>
                <a:srgbClr val="000000"/>
              </a:solidFill>
              <a:latin typeface="Arial"/>
              <a:ea typeface="Arial"/>
              <a:cs typeface="Arial"/>
            </a:rPr>
            <a:t> corresponds to a medieval setting. </a:t>
          </a:r>
          <a:r>
            <a:rPr lang="en-US" cap="none" sz="1000" b="1" i="0" u="none" baseline="0">
              <a:solidFill>
                <a:srgbClr val="0000FF"/>
              </a:solidFill>
              <a:latin typeface="Arial"/>
              <a:ea typeface="Arial"/>
              <a:cs typeface="Arial"/>
            </a:rPr>
            <a:t>"Good"</a:t>
          </a:r>
          <a:r>
            <a:rPr lang="en-US" cap="none" sz="1000" b="1" i="0" u="none" baseline="0">
              <a:solidFill>
                <a:srgbClr val="000000"/>
              </a:solidFill>
              <a:latin typeface="Arial"/>
              <a:ea typeface="Arial"/>
              <a:cs typeface="Arial"/>
            </a:rPr>
            <a:t> reflects a setting inspired from real world Renaissance. </a:t>
          </a:r>
          <a:r>
            <a:rPr lang="en-US" cap="none" sz="1000" b="1" i="0" u="none" baseline="0">
              <a:solidFill>
                <a:srgbClr val="0000FF"/>
              </a:solidFill>
              <a:latin typeface="Arial"/>
              <a:ea typeface="Arial"/>
              <a:cs typeface="Arial"/>
            </a:rPr>
            <a:t>"Outstanding"</a:t>
          </a:r>
          <a:r>
            <a:rPr lang="en-US" cap="none" sz="1000" b="1" i="0" u="none" baseline="0">
              <a:solidFill>
                <a:srgbClr val="000000"/>
              </a:solidFill>
              <a:latin typeface="Arial"/>
              <a:ea typeface="Arial"/>
              <a:cs typeface="Arial"/>
            </a:rPr>
            <a:t> reflects a setting inspired from real world ancient times (such as Romans, Greeks, Egyptians, etc), or some civilization that is unusually familiar with large construction projects or highly competent with construction and logistics (dwarven or</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gnomish engineers, or creatures with hive-like intelligence for example).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Workforce Quality</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"Fair"</a:t>
          </a:r>
          <a:r>
            <a:rPr lang="en-US" cap="none" sz="1000" b="1" i="0" u="none" baseline="0">
              <a:solidFill>
                <a:srgbClr val="000000"/>
              </a:solidFill>
              <a:latin typeface="Arial"/>
              <a:ea typeface="Arial"/>
              <a:cs typeface="Arial"/>
            </a:rPr>
            <a:t> describes a workforce that isn't entirely skilled at all aspects of the construction project. For example, slaves or convicts thrown into the project would eventually accomplish the work, with some improvisation along the way.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"Average"</a:t>
          </a:r>
          <a:r>
            <a:rPr lang="en-US" cap="none" sz="1000" b="1" i="0" u="none" baseline="0">
              <a:solidFill>
                <a:srgbClr val="000000"/>
              </a:solidFill>
              <a:latin typeface="Arial"/>
              <a:ea typeface="Arial"/>
              <a:cs typeface="Arial"/>
            </a:rPr>
            <a:t> describes typical medieval corvee labor, people who are obligated to work on the project and have some experience in the matter.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"Good"</a:t>
          </a:r>
          <a:r>
            <a:rPr lang="en-US" cap="none" sz="1000" b="1" i="0" u="none" baseline="0">
              <a:solidFill>
                <a:srgbClr val="000000"/>
              </a:solidFill>
              <a:latin typeface="Arial"/>
              <a:ea typeface="Arial"/>
              <a:cs typeface="Arial"/>
            </a:rPr>
            <a:t> assumes appropriate, professional skills are brought in when needed during the construction. Although the total number of people working on the project remains the same, people are rotated in and out as needed. This would be the case in settled lands. For example, specialists and their apprentices would make the cobblestones at a quarry, the material is then transported to the work site where workers fit them into the new road. Further down the site, a task master directs a crew on how to carve a passage on the side of a mountain, dislodge a large rock, or reinforce a road on unstable terrain.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"Outstanding" </a:t>
          </a:r>
          <a:r>
            <a:rPr lang="en-US" cap="none" sz="1000" b="1" i="0" u="none" baseline="0">
              <a:solidFill>
                <a:srgbClr val="000000"/>
              </a:solidFill>
              <a:latin typeface="Arial"/>
              <a:ea typeface="Arial"/>
              <a:cs typeface="Arial"/>
            </a:rPr>
            <a:t>involves special workers who display unusual physical strength and stamina as well as an excellent knowledge of the work at hand -- for example, dwarves would fit in this category, or a professional crew of trained ogres. Common workers receiving magical assistance should also fit in this category.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Workforce Motivation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"Hostile"</a:t>
          </a:r>
          <a:r>
            <a:rPr lang="en-US" cap="none" sz="1000" b="1" i="0" u="none" baseline="0">
              <a:solidFill>
                <a:srgbClr val="000000"/>
              </a:solidFill>
              <a:latin typeface="Arial"/>
              <a:ea typeface="Arial"/>
              <a:cs typeface="Arial"/>
            </a:rPr>
            <a:t> includes slave labor, convicts, unpaid labor (corvee labor -- such as workers providing services as part of their feudal obligations). Although not openly belligerent, hostile workers rely on passivity as a way to cause problems. They tend to desert when given a chance and will revolt if conditions become excessively bad.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"Indifferent"</a:t>
          </a:r>
          <a:r>
            <a:rPr lang="en-US" cap="none" sz="1000" b="1" i="0" u="none" baseline="0">
              <a:solidFill>
                <a:srgbClr val="000000"/>
              </a:solidFill>
              <a:latin typeface="Arial"/>
              <a:ea typeface="Arial"/>
              <a:cs typeface="Arial"/>
            </a:rPr>
            <a:t> reflects workers receiving some pay but have no particular interest in the work at hand. It is merely a form of survival.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"Motivated"</a:t>
          </a:r>
          <a:r>
            <a:rPr lang="en-US" cap="none" sz="1000" b="1" i="0" u="none" baseline="0">
              <a:solidFill>
                <a:srgbClr val="000000"/>
              </a:solidFill>
              <a:latin typeface="Arial"/>
              <a:ea typeface="Arial"/>
              <a:cs typeface="Arial"/>
            </a:rPr>
            <a:t> corresponds to workers who are well-paid or who have a personal interest in the work at hand. Paid dwarven workers would fit here, as would villagers building a road to allow wealthy caravans and their lord's army to come their way more easily. The latter would be more true of a village at risk of being raided by humanoids for example.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"Fanatical"</a:t>
          </a:r>
          <a:r>
            <a:rPr lang="en-US" cap="none" sz="1000" b="1" i="0" u="none" baseline="0">
              <a:solidFill>
                <a:srgbClr val="000000"/>
              </a:solidFill>
              <a:latin typeface="Arial"/>
              <a:ea typeface="Arial"/>
              <a:cs typeface="Arial"/>
            </a:rPr>
            <a:t> would include people working for a cause they feel is greater then their own life, which could include monks working for the good of their order, or worshippers working for the good of their Immortal patron. Undead or mindless creatures can also fit in this category.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Situational Modifiers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"Limited Supplies"</a:t>
          </a:r>
          <a:r>
            <a:rPr lang="en-US" cap="none" sz="1000" b="1" i="0" u="none" baseline="0">
              <a:solidFill>
                <a:srgbClr val="000000"/>
              </a:solidFill>
              <a:latin typeface="Arial"/>
              <a:ea typeface="Arial"/>
              <a:cs typeface="Arial"/>
            </a:rPr>
            <a:t> reflects the difficulty of getting adequate food supplies, tools, and building materials to the work site. For example, building a stone bridge in an area that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does not have a stone quarry of some kind, or clearing a trail through a rocky desert while water and food come at a premium, would all fit in this category.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"Unadapted Tools" </a:t>
          </a:r>
          <a:r>
            <a:rPr lang="en-US" cap="none" sz="1000" b="1" i="0" u="none" baseline="0">
              <a:solidFill>
                <a:srgbClr val="000000"/>
              </a:solidFill>
              <a:latin typeface="Arial"/>
              <a:ea typeface="Arial"/>
              <a:cs typeface="Arial"/>
            </a:rPr>
            <a:t> corresponds to a workforce with rudimentary tools or which is forced to make their own tools as the construction progresses. For example, clearing out gravel with baskets and porters, or heavy stones with wheelbarrows, would be called rudimentary. Using ox-pulled carts would be more efficient. Unadapted tools is a trademark of massive borderland projects with thousands of slave workers.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"Harsh Climate"</a:t>
          </a:r>
          <a:r>
            <a:rPr lang="en-US" cap="none" sz="1000" b="1" i="0" u="none" baseline="0">
              <a:solidFill>
                <a:srgbClr val="000000"/>
              </a:solidFill>
              <a:latin typeface="Arial"/>
              <a:ea typeface="Arial"/>
              <a:cs typeface="Arial"/>
            </a:rPr>
            <a:t> involves either unusually cold or hot regions where adverse elements predominate all year long (like deserts, equatorial regions, or high mountains for example), or for at least four months out of a year (continental weather patterns).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"Perilous Conditions"</a:t>
          </a:r>
          <a:r>
            <a:rPr lang="en-US" cap="none" sz="1000" b="1" i="0" u="none" baseline="0">
              <a:solidFill>
                <a:srgbClr val="000000"/>
              </a:solidFill>
              <a:latin typeface="Arial"/>
              <a:ea typeface="Arial"/>
              <a:cs typeface="Arial"/>
            </a:rPr>
            <a:t> This category reflects situations where the workers' own lives are at a risk -- for example, "Perilous Conditions" would be true with the presence of hostile natives, humanoids, monsters, raiders, bandits, an enemy army, etc. Difficult terrain can also be considered here, such as building a road through high mountains or broken lands, building a bridge over dangerous waters, working in a region prone to land slides or diseases, and so forth. Perilous conditions are likely to prevail in Borderland regions, more so in Wilderness.
</a:t>
          </a:r>
          <a:r>
            <a:rPr lang="en-US" cap="none" sz="1000" b="1" i="0" u="none" baseline="0">
              <a:solidFill>
                <a:srgbClr val="000000"/>
              </a:solidFill>
              <a:latin typeface="Arial"/>
              <a:ea typeface="Arial"/>
              <a:cs typeface="Arial"/>
            </a:rPr>
            <a:t>
</a:t>
          </a:r>
          <a:r>
            <a:rPr lang="en-US" cap="none" sz="1000" b="1" i="0" u="none" baseline="0">
              <a:solidFill>
                <a:srgbClr val="663300"/>
              </a:solidFill>
              <a:latin typeface="Arial"/>
              <a:ea typeface="Arial"/>
              <a:cs typeface="Arial"/>
            </a:rPr>
            <a:t>Scope of Project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simplicity, </a:t>
          </a:r>
          <a:r>
            <a:rPr lang="en-US" cap="none" sz="1000" b="1" i="1" u="none" baseline="0">
              <a:solidFill>
                <a:srgbClr val="000000"/>
              </a:solidFill>
              <a:latin typeface="Arial"/>
              <a:ea typeface="Arial"/>
              <a:cs typeface="Arial"/>
            </a:rPr>
            <a:t>Roadbuilder</a:t>
          </a:r>
          <a:r>
            <a:rPr lang="en-US" cap="none" sz="1000" b="1" i="0" u="none" baseline="0">
              <a:solidFill>
                <a:srgbClr val="000000"/>
              </a:solidFill>
              <a:latin typeface="Arial"/>
              <a:ea typeface="Arial"/>
              <a:cs typeface="Arial"/>
            </a:rPr>
            <a:t> allows either trails or paved roads. The width of the road then should be checked as well. There are three widths readily available, although even wider roads can be achieved by selecting more than one width -- for example, selecting both the 15ft and 45ft widths will yield results for a 60ft wide road. If this box is left empty, the default is a 15ft wide trail.
</a:t>
          </a:r>
          <a:r>
            <a:rPr lang="en-US" cap="none" sz="1000" b="1" i="0" u="none" baseline="0">
              <a:solidFill>
                <a:srgbClr val="000000"/>
              </a:solidFill>
              <a:latin typeface="Arial"/>
              <a:ea typeface="Arial"/>
              <a:cs typeface="Arial"/>
            </a:rPr>
            <a:t>
</a:t>
          </a:r>
          <a:r>
            <a:rPr lang="en-US" cap="none" sz="1000" b="1" i="0" u="none" baseline="0">
              <a:solidFill>
                <a:srgbClr val="663300"/>
              </a:solidFill>
              <a:latin typeface="Arial"/>
              <a:ea typeface="Arial"/>
              <a:cs typeface="Arial"/>
            </a:rPr>
            <a:t>Map Scale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Three scale are readily available, although any scale can be entered manually. If this box is left empty, the default is an 8-mile hex scale (standard Mystaran Gazetteer map scale).
</a:t>
          </a:r>
          <a:r>
            <a:rPr lang="en-US" cap="none" sz="1000" b="1" i="0" u="none" baseline="0">
              <a:solidFill>
                <a:srgbClr val="000000"/>
              </a:solidFill>
              <a:latin typeface="Arial"/>
              <a:ea typeface="Arial"/>
              <a:cs typeface="Arial"/>
            </a:rPr>
            <a:t>
</a:t>
          </a:r>
          <a:r>
            <a:rPr lang="en-US" cap="none" sz="1000" b="1" i="0" u="none" baseline="0">
              <a:solidFill>
                <a:srgbClr val="663300"/>
              </a:solidFill>
              <a:latin typeface="Arial"/>
              <a:ea typeface="Arial"/>
              <a:cs typeface="Arial"/>
            </a:rPr>
            <a:t>Terrain Types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Most of the terms used in this box are described in the General Guidelines for population and Incomes, except for "</a:t>
          </a:r>
          <a:r>
            <a:rPr lang="en-US" cap="none" sz="1000" b="1" i="0" u="none" baseline="0">
              <a:solidFill>
                <a:srgbClr val="FF8080"/>
              </a:solidFill>
              <a:latin typeface="Arial"/>
              <a:ea typeface="Arial"/>
              <a:cs typeface="Arial"/>
            </a:rPr>
            <a:t>Soft Terrain</a:t>
          </a:r>
          <a:r>
            <a:rPr lang="en-US" cap="none" sz="1000" b="1" i="0" u="none" baseline="0">
              <a:solidFill>
                <a:srgbClr val="000000"/>
              </a:solidFill>
              <a:latin typeface="Arial"/>
              <a:ea typeface="Arial"/>
              <a:cs typeface="Arial"/>
            </a:rPr>
            <a:t>". The latter corresponds to sandy regions, mud flats, and all other types of unstable terrain other than swamps.
</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Bridge Style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Bridges are typically made of wood or stone. The "elaborate" bridge is one that is either fancy (unusual decoration and architecture, statues in alcoves, oil or magical lamps, etc) or specially reinforced. A reinforced bridge is strong enough to support some defensive feature, such as one or more towers, gates, or a small keep. Reinforced bridges can collect tolls, the amount of which could be equal to a third of the toll collected by the largest urban center connecting directly with the bridge. Additional structures (towers or keeps come at an additional cost).
</a:t>
          </a:r>
          <a:r>
            <a:rPr lang="en-US" cap="none" sz="1000" b="1" i="0" u="none" baseline="0">
              <a:solidFill>
                <a:srgbClr val="000000"/>
              </a:solidFill>
              <a:latin typeface="Arial"/>
              <a:ea typeface="Arial"/>
              <a:cs typeface="Arial"/>
            </a:rPr>
            <a:t>
</a:t>
          </a:r>
          <a:r>
            <a:rPr lang="en-US" cap="none" sz="1000" b="1" i="0" u="none" baseline="0">
              <a:solidFill>
                <a:srgbClr val="800000"/>
              </a:solidFill>
              <a:latin typeface="Arial"/>
              <a:ea typeface="Arial"/>
              <a:cs typeface="Arial"/>
            </a:rPr>
            <a:t>The Death Toll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It represent the average number of workers likely to die during each month of the construction project. The Death Toll relates directly to adverse </a:t>
          </a:r>
          <a:r>
            <a:rPr lang="en-US" cap="none" sz="1000" b="1" i="0" u="none" baseline="0">
              <a:solidFill>
                <a:srgbClr val="FF0000"/>
              </a:solidFill>
              <a:latin typeface="Arial"/>
              <a:ea typeface="Arial"/>
              <a:cs typeface="Arial"/>
            </a:rPr>
            <a:t>Situational Modifiers </a:t>
          </a:r>
          <a:r>
            <a:rPr lang="en-US" cap="none" sz="1000" b="1" i="0" u="none" baseline="0">
              <a:solidFill>
                <a:srgbClr val="000000"/>
              </a:solidFill>
              <a:latin typeface="Arial"/>
              <a:ea typeface="Arial"/>
              <a:cs typeface="Arial"/>
            </a:rPr>
            <a:t>and </a:t>
          </a:r>
          <a:r>
            <a:rPr lang="en-US" cap="none" sz="1000" b="1" i="0" u="none" baseline="0">
              <a:solidFill>
                <a:srgbClr val="008000"/>
              </a:solidFill>
              <a:latin typeface="Arial"/>
              <a:ea typeface="Arial"/>
              <a:cs typeface="Arial"/>
            </a:rPr>
            <a:t>Workforce Hostility</a:t>
          </a:r>
          <a:r>
            <a:rPr lang="en-US" cap="none" sz="1000" b="1" i="0" u="none" baseline="0">
              <a:solidFill>
                <a:srgbClr val="000000"/>
              </a:solidFill>
              <a:latin typeface="Arial"/>
              <a:ea typeface="Arial"/>
              <a:cs typeface="Arial"/>
            </a:rPr>
            <a:t>. The Death Toll can exceed the initial number of workers over the length of the project. It is assumed that replacements are brought in as losses take place. Naturally, high losses will almost certainly spark a revolt among the workers (at the DM's discretion).
</a:t>
          </a:r>
          <a:r>
            <a:rPr lang="en-US" cap="none" sz="1000" b="1" i="0" u="none" baseline="0">
              <a:solidFill>
                <a:srgbClr val="000000"/>
              </a:solidFill>
              <a:latin typeface="Arial"/>
              <a:ea typeface="Arial"/>
              <a:cs typeface="Arial"/>
            </a:rPr>
            <a:t>
</a:t>
          </a:r>
        </a:p>
      </xdr:txBody>
    </xdr:sp>
    <xdr:clientData/>
  </xdr:twoCellAnchor>
  <xdr:twoCellAnchor>
    <xdr:from>
      <xdr:col>4</xdr:col>
      <xdr:colOff>495300</xdr:colOff>
      <xdr:row>434</xdr:row>
      <xdr:rowOff>104775</xdr:rowOff>
    </xdr:from>
    <xdr:to>
      <xdr:col>6</xdr:col>
      <xdr:colOff>190500</xdr:colOff>
      <xdr:row>435</xdr:row>
      <xdr:rowOff>114300</xdr:rowOff>
    </xdr:to>
    <xdr:sp>
      <xdr:nvSpPr>
        <xdr:cNvPr id="7" name="Text 28"/>
        <xdr:cNvSpPr txBox="1">
          <a:spLocks noChangeArrowheads="1"/>
        </xdr:cNvSpPr>
      </xdr:nvSpPr>
      <xdr:spPr>
        <a:xfrm>
          <a:off x="2933700" y="70380225"/>
          <a:ext cx="914400" cy="171450"/>
        </a:xfrm>
        <a:prstGeom prst="rect">
          <a:avLst/>
        </a:prstGeom>
        <a:solidFill>
          <a:srgbClr val="808080"/>
        </a:solidFill>
        <a:ln w="1"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Expropriation</a:t>
          </a:r>
        </a:p>
      </xdr:txBody>
    </xdr:sp>
    <xdr:clientData/>
  </xdr:twoCellAnchor>
  <xdr:twoCellAnchor>
    <xdr:from>
      <xdr:col>1</xdr:col>
      <xdr:colOff>38100</xdr:colOff>
      <xdr:row>435</xdr:row>
      <xdr:rowOff>95250</xdr:rowOff>
    </xdr:from>
    <xdr:to>
      <xdr:col>2</xdr:col>
      <xdr:colOff>561975</xdr:colOff>
      <xdr:row>436</xdr:row>
      <xdr:rowOff>114300</xdr:rowOff>
    </xdr:to>
    <xdr:sp>
      <xdr:nvSpPr>
        <xdr:cNvPr id="8" name="Text 30"/>
        <xdr:cNvSpPr txBox="1">
          <a:spLocks noChangeArrowheads="1"/>
        </xdr:cNvSpPr>
      </xdr:nvSpPr>
      <xdr:spPr>
        <a:xfrm>
          <a:off x="647700" y="70532625"/>
          <a:ext cx="1133475" cy="180975"/>
        </a:xfrm>
        <a:prstGeom prst="rect">
          <a:avLst/>
        </a:prstGeom>
        <a:solidFill>
          <a:srgbClr val="FF0000"/>
        </a:solidFill>
        <a:ln w="1"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Corruption Level</a:t>
          </a:r>
        </a:p>
      </xdr:txBody>
    </xdr:sp>
    <xdr:clientData/>
  </xdr:twoCellAnchor>
  <xdr:twoCellAnchor>
    <xdr:from>
      <xdr:col>0</xdr:col>
      <xdr:colOff>590550</xdr:colOff>
      <xdr:row>472</xdr:row>
      <xdr:rowOff>123825</xdr:rowOff>
    </xdr:from>
    <xdr:to>
      <xdr:col>8</xdr:col>
      <xdr:colOff>600075</xdr:colOff>
      <xdr:row>497</xdr:row>
      <xdr:rowOff>142875</xdr:rowOff>
    </xdr:to>
    <xdr:sp>
      <xdr:nvSpPr>
        <xdr:cNvPr id="9" name="Text 36"/>
        <xdr:cNvSpPr txBox="1">
          <a:spLocks noChangeArrowheads="1"/>
        </xdr:cNvSpPr>
      </xdr:nvSpPr>
      <xdr:spPr>
        <a:xfrm>
          <a:off x="590550" y="76552425"/>
          <a:ext cx="4886325" cy="4067175"/>
        </a:xfrm>
        <a:prstGeom prst="rect">
          <a:avLst/>
        </a:prstGeom>
        <a:solidFill>
          <a:srgbClr val="E3E3E3"/>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8000"/>
              </a:solidFill>
              <a:latin typeface="Arial"/>
              <a:ea typeface="Arial"/>
              <a:cs typeface="Arial"/>
            </a:rPr>
            <a:t>Ship Builder, Instructions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worksheet calculates the cost and time to build a ship based upon a set of specifications. After entering the name of the ship to build, type in the number of ship builders available for the project. As with past worksheets in this file, define the workers -- their </a:t>
          </a:r>
          <a:r>
            <a:rPr lang="en-US" cap="none" sz="1000" b="1" i="0" u="none" baseline="0">
              <a:solidFill>
                <a:srgbClr val="0000FF"/>
              </a:solidFill>
              <a:latin typeface="Arial"/>
              <a:ea typeface="Arial"/>
              <a:cs typeface="Arial"/>
            </a:rPr>
            <a:t>leadership</a:t>
          </a:r>
          <a:r>
            <a:rPr lang="en-US" cap="none" sz="1000" b="1"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organization</a:t>
          </a:r>
          <a:r>
            <a:rPr lang="en-US" cap="none" sz="1000" b="1"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motivation</a:t>
          </a:r>
          <a:r>
            <a:rPr lang="en-US" cap="none" sz="1000" b="1" i="0" u="none" baseline="0">
              <a:solidFill>
                <a:srgbClr val="000000"/>
              </a:solidFill>
              <a:latin typeface="Arial"/>
              <a:ea typeface="Arial"/>
              <a:cs typeface="Arial"/>
            </a:rPr>
            <a:t>, and seafaring skills. The </a:t>
          </a:r>
          <a:r>
            <a:rPr lang="en-US" cap="none" sz="1000" b="1" i="0" u="none" baseline="0">
              <a:solidFill>
                <a:srgbClr val="802060"/>
              </a:solidFill>
              <a:latin typeface="Arial"/>
              <a:ea typeface="Arial"/>
              <a:cs typeface="Arial"/>
            </a:rPr>
            <a:t>size</a:t>
          </a:r>
          <a:r>
            <a:rPr lang="en-US" cap="none" sz="1000" b="1" i="0" u="none" baseline="0">
              <a:solidFill>
                <a:srgbClr val="000000"/>
              </a:solidFill>
              <a:latin typeface="Arial"/>
              <a:ea typeface="Arial"/>
              <a:cs typeface="Arial"/>
            </a:rPr>
            <a:t> of the port where the construction takes place and the environment's level of </a:t>
          </a:r>
          <a:r>
            <a:rPr lang="en-US" cap="none" sz="1000" b="1" i="0" u="none" baseline="0">
              <a:solidFill>
                <a:srgbClr val="FF0000"/>
              </a:solidFill>
              <a:latin typeface="Arial"/>
              <a:ea typeface="Arial"/>
              <a:cs typeface="Arial"/>
            </a:rPr>
            <a:t>corruption</a:t>
          </a:r>
          <a:r>
            <a:rPr lang="en-US" cap="none" sz="1000" b="1" i="0" u="none" baseline="0">
              <a:solidFill>
                <a:srgbClr val="000000"/>
              </a:solidFill>
              <a:latin typeface="Arial"/>
              <a:ea typeface="Arial"/>
              <a:cs typeface="Arial"/>
            </a:rPr>
            <a:t> need to be defined as well (put an "</a:t>
          </a:r>
          <a:r>
            <a:rPr lang="en-US" cap="none" sz="1000" b="1" i="0" u="none" baseline="0">
              <a:solidFill>
                <a:srgbClr val="FF0000"/>
              </a:solidFill>
              <a:latin typeface="Arial"/>
              <a:ea typeface="Arial"/>
              <a:cs typeface="Arial"/>
            </a:rPr>
            <a:t>x</a:t>
          </a:r>
          <a:r>
            <a:rPr lang="en-US" cap="none" sz="1000" b="1" i="0" u="none" baseline="0">
              <a:solidFill>
                <a:srgbClr val="000000"/>
              </a:solidFill>
              <a:latin typeface="Arial"/>
              <a:ea typeface="Arial"/>
              <a:cs typeface="Arial"/>
            </a:rPr>
            <a:t>" in the appropriate box). Naturally, the port should have Ship Yard facilities large enoughh to handle the chosen ship size (see </a:t>
          </a:r>
          <a:r>
            <a:rPr lang="en-US" cap="none" sz="1000" b="1" i="0" u="none" baseline="0">
              <a:solidFill>
                <a:srgbClr val="008000"/>
              </a:solidFill>
              <a:latin typeface="Arial"/>
              <a:ea typeface="Arial"/>
              <a:cs typeface="Arial"/>
            </a:rPr>
            <a:t>Port Builder</a:t>
          </a:r>
          <a:r>
            <a:rPr lang="en-US" cap="none" sz="1000" b="1" i="0" u="none" baseline="0">
              <a:solidFill>
                <a:srgbClr val="000000"/>
              </a:solidFill>
              <a:latin typeface="Arial"/>
              <a:ea typeface="Arial"/>
              <a:cs typeface="Arial"/>
            </a:rPr>
            <a:t> worksheet).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Enter the </a:t>
          </a:r>
          <a:r>
            <a:rPr lang="en-US" cap="none" sz="1000" b="1" i="0" u="none" baseline="0">
              <a:solidFill>
                <a:srgbClr val="800000"/>
              </a:solidFill>
              <a:latin typeface="Arial"/>
              <a:ea typeface="Arial"/>
              <a:cs typeface="Arial"/>
            </a:rPr>
            <a:t>ship's length</a:t>
          </a:r>
          <a:r>
            <a:rPr lang="en-US" cap="none" sz="1000" b="1" i="0" u="none" baseline="0">
              <a:solidFill>
                <a:srgbClr val="000000"/>
              </a:solidFill>
              <a:latin typeface="Arial"/>
              <a:ea typeface="Arial"/>
              <a:cs typeface="Arial"/>
            </a:rPr>
            <a:t> in feet. Ships in the D&amp;D game range from 60 to 150 feet long, although the worksheet can handle ships up to 200ft.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Choose one ship</a:t>
          </a:r>
          <a:r>
            <a:rPr lang="en-US" cap="none" sz="1000" b="1" i="0" u="none" baseline="0">
              <a:solidFill>
                <a:srgbClr val="800000"/>
              </a:solidFill>
              <a:latin typeface="Arial"/>
              <a:ea typeface="Arial"/>
              <a:cs typeface="Arial"/>
            </a:rPr>
            <a:t> type,</a:t>
          </a:r>
          <a:r>
            <a:rPr lang="en-US" cap="none" sz="1000" b="1" i="0" u="none" baseline="0">
              <a:solidFill>
                <a:srgbClr val="000000"/>
              </a:solidFill>
              <a:latin typeface="Arial"/>
              <a:ea typeface="Arial"/>
              <a:cs typeface="Arial"/>
            </a:rPr>
            <a:t> one ship </a:t>
          </a:r>
          <a:r>
            <a:rPr lang="en-US" cap="none" sz="1000" b="1" i="0" u="none" baseline="0">
              <a:solidFill>
                <a:srgbClr val="800000"/>
              </a:solidFill>
              <a:latin typeface="Arial"/>
              <a:ea typeface="Arial"/>
              <a:cs typeface="Arial"/>
            </a:rPr>
            <a:t>function</a:t>
          </a:r>
          <a:r>
            <a:rPr lang="en-US" cap="none" sz="1000" b="1" i="0" u="none" baseline="0">
              <a:solidFill>
                <a:srgbClr val="000000"/>
              </a:solidFill>
              <a:latin typeface="Arial"/>
              <a:ea typeface="Arial"/>
              <a:cs typeface="Arial"/>
            </a:rPr>
            <a:t>, and one ship</a:t>
          </a:r>
          <a:r>
            <a:rPr lang="en-US" cap="none" sz="1000" b="1" i="0" u="none" baseline="0">
              <a:solidFill>
                <a:srgbClr val="800000"/>
              </a:solidFill>
              <a:latin typeface="Arial"/>
              <a:ea typeface="Arial"/>
              <a:cs typeface="Arial"/>
            </a:rPr>
            <a:t> style</a:t>
          </a:r>
          <a:r>
            <a:rPr lang="en-US" cap="none" sz="1000" b="1" i="0" u="none" baseline="0">
              <a:solidFill>
                <a:srgbClr val="000000"/>
              </a:solidFill>
              <a:latin typeface="Arial"/>
              <a:ea typeface="Arial"/>
              <a:cs typeface="Arial"/>
            </a:rPr>
            <a:t> (put an "</a:t>
          </a:r>
          <a:r>
            <a:rPr lang="en-US" cap="none" sz="1000" b="1" i="0" u="none" baseline="0">
              <a:solidFill>
                <a:srgbClr val="FF0000"/>
              </a:solidFill>
              <a:latin typeface="Arial"/>
              <a:ea typeface="Arial"/>
              <a:cs typeface="Arial"/>
            </a:rPr>
            <a:t>x</a:t>
          </a:r>
          <a:r>
            <a:rPr lang="en-US" cap="none" sz="1000" b="1" i="0" u="none" baseline="0">
              <a:solidFill>
                <a:srgbClr val="000000"/>
              </a:solidFill>
              <a:latin typeface="Arial"/>
              <a:ea typeface="Arial"/>
              <a:cs typeface="Arial"/>
            </a:rPr>
            <a:t>" in the appropriate boxes). Indicated whether </a:t>
          </a:r>
          <a:r>
            <a:rPr lang="en-US" cap="none" sz="1000" b="1" i="0" u="none" baseline="0">
              <a:solidFill>
                <a:srgbClr val="800000"/>
              </a:solidFill>
              <a:latin typeface="Arial"/>
              <a:ea typeface="Arial"/>
              <a:cs typeface="Arial"/>
            </a:rPr>
            <a:t>rowers</a:t>
          </a:r>
          <a:r>
            <a:rPr lang="en-US" cap="none" sz="1000" b="1" i="0" u="none" baseline="0">
              <a:solidFill>
                <a:srgbClr val="000000"/>
              </a:solidFill>
              <a:latin typeface="Arial"/>
              <a:ea typeface="Arial"/>
              <a:cs typeface="Arial"/>
            </a:rPr>
            <a:t> are slaves (enter "</a:t>
          </a:r>
          <a:r>
            <a:rPr lang="en-US" cap="none" sz="1000" b="1" i="0" u="none" baseline="0">
              <a:solidFill>
                <a:srgbClr val="FF0000"/>
              </a:solidFill>
              <a:latin typeface="Arial"/>
              <a:ea typeface="Arial"/>
              <a:cs typeface="Arial"/>
            </a:rPr>
            <a:t>y</a:t>
          </a:r>
          <a:r>
            <a:rPr lang="en-US" cap="none" sz="1000" b="1" i="0" u="none" baseline="0">
              <a:solidFill>
                <a:srgbClr val="000000"/>
              </a:solidFill>
              <a:latin typeface="Arial"/>
              <a:ea typeface="Arial"/>
              <a:cs typeface="Arial"/>
            </a:rPr>
            <a:t>" or "</a:t>
          </a:r>
          <a:r>
            <a:rPr lang="en-US" cap="none" sz="1000" b="1" i="0" u="none" baseline="0">
              <a:solidFill>
                <a:srgbClr val="FF0000"/>
              </a:solidFill>
              <a:latin typeface="Arial"/>
              <a:ea typeface="Arial"/>
              <a:cs typeface="Arial"/>
            </a:rPr>
            <a:t>n</a:t>
          </a:r>
          <a:r>
            <a:rPr lang="en-US" cap="none" sz="1000" b="1" i="0" u="none" baseline="0">
              <a:solidFill>
                <a:srgbClr val="000000"/>
              </a:solidFill>
              <a:latin typeface="Arial"/>
              <a:ea typeface="Arial"/>
              <a:cs typeface="Arial"/>
            </a:rPr>
            <a:t>"), and what the predominant </a:t>
          </a:r>
          <a:r>
            <a:rPr lang="en-US" cap="none" sz="1000" b="1" i="0" u="none" baseline="0">
              <a:solidFill>
                <a:srgbClr val="800000"/>
              </a:solidFill>
              <a:latin typeface="Arial"/>
              <a:ea typeface="Arial"/>
              <a:cs typeface="Arial"/>
            </a:rPr>
            <a:t>Experience Level</a:t>
          </a:r>
          <a:r>
            <a:rPr lang="en-US" cap="none" sz="1000" b="1" i="0" u="none" baseline="0">
              <a:solidFill>
                <a:srgbClr val="000000"/>
              </a:solidFill>
              <a:latin typeface="Arial"/>
              <a:ea typeface="Arial"/>
              <a:cs typeface="Arial"/>
            </a:rPr>
            <a:t> of the crew should be, if different from what's already indicated. More information on crew levels is available in the </a:t>
          </a:r>
          <a:r>
            <a:rPr lang="en-US" cap="none" sz="1000" b="1" i="0" u="none" baseline="0">
              <a:solidFill>
                <a:srgbClr val="008000"/>
              </a:solidFill>
              <a:latin typeface="Arial"/>
              <a:ea typeface="Arial"/>
              <a:cs typeface="Arial"/>
            </a:rPr>
            <a:t>Armies</a:t>
          </a:r>
          <a:r>
            <a:rPr lang="en-US" cap="none" sz="1000" b="1" i="0" u="none" baseline="0">
              <a:solidFill>
                <a:srgbClr val="000000"/>
              </a:solidFill>
              <a:latin typeface="Arial"/>
              <a:ea typeface="Arial"/>
              <a:cs typeface="Arial"/>
            </a:rPr>
            <a:t> Worksheet.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worksheet then calculates all the the ship's statistics, including size, crew, game statistics, and costs.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58</xdr:row>
      <xdr:rowOff>9525</xdr:rowOff>
    </xdr:from>
    <xdr:to>
      <xdr:col>3</xdr:col>
      <xdr:colOff>523875</xdr:colOff>
      <xdr:row>58</xdr:row>
      <xdr:rowOff>142875</xdr:rowOff>
    </xdr:to>
    <xdr:sp>
      <xdr:nvSpPr>
        <xdr:cNvPr id="1" name="Line 2"/>
        <xdr:cNvSpPr>
          <a:spLocks/>
        </xdr:cNvSpPr>
      </xdr:nvSpPr>
      <xdr:spPr>
        <a:xfrm flipH="1">
          <a:off x="2247900" y="10001250"/>
          <a:ext cx="0" cy="133350"/>
        </a:xfrm>
        <a:prstGeom prst="line">
          <a:avLst/>
        </a:prstGeom>
        <a:noFill/>
        <a:ln w="17145" cmpd="sng">
          <a:solidFill>
            <a:srgbClr val="8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161925</xdr:rowOff>
    </xdr:from>
    <xdr:to>
      <xdr:col>4</xdr:col>
      <xdr:colOff>0</xdr:colOff>
      <xdr:row>27</xdr:row>
      <xdr:rowOff>142875</xdr:rowOff>
    </xdr:to>
    <xdr:sp>
      <xdr:nvSpPr>
        <xdr:cNvPr id="2" name="Line 9"/>
        <xdr:cNvSpPr>
          <a:spLocks/>
        </xdr:cNvSpPr>
      </xdr:nvSpPr>
      <xdr:spPr>
        <a:xfrm>
          <a:off x="2647950" y="4343400"/>
          <a:ext cx="0" cy="485775"/>
        </a:xfrm>
        <a:prstGeom prst="line">
          <a:avLst/>
        </a:prstGeom>
        <a:noFill/>
        <a:ln w="17145" cmpd="sng">
          <a:solidFill>
            <a:srgbClr val="8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57</xdr:row>
      <xdr:rowOff>9525</xdr:rowOff>
    </xdr:from>
    <xdr:to>
      <xdr:col>3</xdr:col>
      <xdr:colOff>514350</xdr:colOff>
      <xdr:row>58</xdr:row>
      <xdr:rowOff>9525</xdr:rowOff>
    </xdr:to>
    <xdr:sp>
      <xdr:nvSpPr>
        <xdr:cNvPr id="3" name="Arc 10"/>
        <xdr:cNvSpPr>
          <a:spLocks/>
        </xdr:cNvSpPr>
      </xdr:nvSpPr>
      <xdr:spPr>
        <a:xfrm>
          <a:off x="2047875" y="9839325"/>
          <a:ext cx="190500" cy="1619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80206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58</xdr:row>
      <xdr:rowOff>9525</xdr:rowOff>
    </xdr:from>
    <xdr:to>
      <xdr:col>4</xdr:col>
      <xdr:colOff>304800</xdr:colOff>
      <xdr:row>58</xdr:row>
      <xdr:rowOff>142875</xdr:rowOff>
    </xdr:to>
    <xdr:sp>
      <xdr:nvSpPr>
        <xdr:cNvPr id="4" name="Line 11"/>
        <xdr:cNvSpPr>
          <a:spLocks/>
        </xdr:cNvSpPr>
      </xdr:nvSpPr>
      <xdr:spPr>
        <a:xfrm flipH="1">
          <a:off x="2952750" y="10001250"/>
          <a:ext cx="0" cy="133350"/>
        </a:xfrm>
        <a:prstGeom prst="line">
          <a:avLst/>
        </a:prstGeom>
        <a:noFill/>
        <a:ln w="17145" cmpd="sng">
          <a:solidFill>
            <a:srgbClr val="8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57</xdr:row>
      <xdr:rowOff>9525</xdr:rowOff>
    </xdr:from>
    <xdr:to>
      <xdr:col>4</xdr:col>
      <xdr:colOff>495300</xdr:colOff>
      <xdr:row>57</xdr:row>
      <xdr:rowOff>152400</xdr:rowOff>
    </xdr:to>
    <xdr:sp>
      <xdr:nvSpPr>
        <xdr:cNvPr id="5" name="Arc 12"/>
        <xdr:cNvSpPr>
          <a:spLocks/>
        </xdr:cNvSpPr>
      </xdr:nvSpPr>
      <xdr:spPr>
        <a:xfrm flipH="1">
          <a:off x="2952750" y="9839325"/>
          <a:ext cx="190500" cy="1428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80206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46</xdr:row>
      <xdr:rowOff>9525</xdr:rowOff>
    </xdr:from>
    <xdr:to>
      <xdr:col>9</xdr:col>
      <xdr:colOff>390525</xdr:colOff>
      <xdr:row>52</xdr:row>
      <xdr:rowOff>76200</xdr:rowOff>
    </xdr:to>
    <xdr:sp>
      <xdr:nvSpPr>
        <xdr:cNvPr id="6" name="Text 13"/>
        <xdr:cNvSpPr txBox="1">
          <a:spLocks noChangeArrowheads="1"/>
        </xdr:cNvSpPr>
      </xdr:nvSpPr>
      <xdr:spPr>
        <a:xfrm>
          <a:off x="5715000" y="7934325"/>
          <a:ext cx="371475" cy="1104900"/>
        </a:xfrm>
        <a:prstGeom prst="rect">
          <a:avLst/>
        </a:prstGeom>
        <a:solidFill>
          <a:srgbClr val="FFFFFF"/>
        </a:solidFill>
        <a:ln w="1" cmpd="sng">
          <a:noFill/>
        </a:ln>
      </xdr:spPr>
      <xdr:txBody>
        <a:bodyPr vertOverflow="clip" wrap="square" lIns="91440" tIns="91440" rIns="0" bIns="0"/>
        <a:p>
          <a:pPr algn="l">
            <a:defRPr/>
          </a:pPr>
          <a:r>
            <a:rPr lang="en-US" cap="none" sz="6000" b="0" i="0" u="none" baseline="0">
              <a:solidFill>
                <a:srgbClr val="802060"/>
              </a:solidFill>
            </a:rPr>
            <a:t>}</a:t>
          </a:r>
        </a:p>
      </xdr:txBody>
    </xdr:sp>
    <xdr:clientData/>
  </xdr:twoCellAnchor>
  <xdr:twoCellAnchor>
    <xdr:from>
      <xdr:col>9</xdr:col>
      <xdr:colOff>19050</xdr:colOff>
      <xdr:row>39</xdr:row>
      <xdr:rowOff>9525</xdr:rowOff>
    </xdr:from>
    <xdr:to>
      <xdr:col>9</xdr:col>
      <xdr:colOff>352425</xdr:colOff>
      <xdr:row>44</xdr:row>
      <xdr:rowOff>104775</xdr:rowOff>
    </xdr:to>
    <xdr:sp>
      <xdr:nvSpPr>
        <xdr:cNvPr id="7" name="Text 14"/>
        <xdr:cNvSpPr txBox="1">
          <a:spLocks noChangeArrowheads="1"/>
        </xdr:cNvSpPr>
      </xdr:nvSpPr>
      <xdr:spPr>
        <a:xfrm>
          <a:off x="5715000" y="6734175"/>
          <a:ext cx="333375" cy="952500"/>
        </a:xfrm>
        <a:prstGeom prst="rect">
          <a:avLst/>
        </a:prstGeom>
        <a:solidFill>
          <a:srgbClr val="FFFFFF"/>
        </a:solidFill>
        <a:ln w="1" cmpd="sng">
          <a:noFill/>
        </a:ln>
      </xdr:spPr>
      <xdr:txBody>
        <a:bodyPr vertOverflow="clip" wrap="square" lIns="82296" tIns="77724" rIns="0" bIns="0"/>
        <a:p>
          <a:pPr algn="l">
            <a:defRPr/>
          </a:pPr>
          <a:r>
            <a:rPr lang="en-US" cap="none" sz="5000" b="0" i="0" u="none" baseline="0">
              <a:solidFill>
                <a:srgbClr val="80206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A273"/>
  <sheetViews>
    <sheetView zoomScalePageLayoutView="0" workbookViewId="0" topLeftCell="A1">
      <selection activeCell="E8" sqref="E8"/>
    </sheetView>
  </sheetViews>
  <sheetFormatPr defaultColWidth="9.140625" defaultRowHeight="12.75"/>
  <cols>
    <col min="1" max="1" width="13.00390625" style="0" customWidth="1"/>
    <col min="2" max="11" width="7.7109375" style="0" customWidth="1"/>
    <col min="12" max="12" width="7.8515625" style="0" customWidth="1"/>
    <col min="13" max="13" width="8.28125" style="0" customWidth="1"/>
    <col min="14" max="14" width="8.57421875" style="0" customWidth="1"/>
  </cols>
  <sheetData>
    <row r="1" spans="1:11" ht="30.75" customHeight="1">
      <c r="A1" s="383" t="s">
        <v>0</v>
      </c>
      <c r="B1" s="8"/>
      <c r="C1" s="8"/>
      <c r="D1" s="8"/>
      <c r="E1" s="8"/>
      <c r="F1" s="8"/>
      <c r="G1" s="8"/>
      <c r="H1" s="8"/>
      <c r="I1" s="8"/>
      <c r="J1" s="8"/>
      <c r="K1" s="8"/>
    </row>
    <row r="2" spans="9:19" ht="14.25" customHeight="1">
      <c r="I2" s="363"/>
      <c r="J2" s="8"/>
      <c r="K2" s="8"/>
      <c r="P2" s="563" t="s">
        <v>1</v>
      </c>
      <c r="Q2" s="135"/>
      <c r="R2" s="135"/>
      <c r="S2" s="135"/>
    </row>
    <row r="3" spans="2:19" ht="14.25" customHeight="1">
      <c r="B3" s="553"/>
      <c r="C3" s="363"/>
      <c r="D3" s="363"/>
      <c r="E3" s="363"/>
      <c r="F3" s="363"/>
      <c r="G3" s="11" t="s">
        <v>2</v>
      </c>
      <c r="H3" s="6"/>
      <c r="I3" s="8"/>
      <c r="J3" s="8"/>
      <c r="K3" s="8"/>
      <c r="P3" s="90" t="s">
        <v>3</v>
      </c>
      <c r="Q3" s="88"/>
      <c r="R3" s="266" t="s">
        <v>4</v>
      </c>
      <c r="S3" s="266" t="s">
        <v>5</v>
      </c>
    </row>
    <row r="4" spans="2:19" ht="14.25" customHeight="1">
      <c r="B4" s="383"/>
      <c r="D4" s="8"/>
      <c r="E4" s="8"/>
      <c r="F4" s="8"/>
      <c r="G4" s="8"/>
      <c r="H4" s="555">
        <f>IF(H3="y","Good Job!","")</f>
      </c>
      <c r="I4" s="8"/>
      <c r="J4" s="8"/>
      <c r="K4" s="8"/>
      <c r="P4" s="88">
        <f>IF($D$8="y",0.03,IF($F$8="y",0.07,0.05))</f>
        <v>0.05</v>
      </c>
      <c r="Q4" s="88"/>
      <c r="R4" s="88">
        <f>IF($D$8="y",0.05,IF($F$8="y",0.2,0.1))</f>
        <v>0.1</v>
      </c>
      <c r="S4" s="88">
        <f>IF($D$8="y",0.15,IF($F$8="y",0.6,0.3))</f>
        <v>0.3</v>
      </c>
    </row>
    <row r="5" spans="3:19" ht="14.25" customHeight="1">
      <c r="C5" s="363"/>
      <c r="D5" s="552" t="s">
        <v>6</v>
      </c>
      <c r="E5" s="9"/>
      <c r="F5" s="9"/>
      <c r="I5" s="8"/>
      <c r="J5" s="8"/>
      <c r="K5" s="8"/>
      <c r="P5" s="266" t="s">
        <v>7</v>
      </c>
      <c r="Q5" s="266" t="s">
        <v>8</v>
      </c>
      <c r="R5" s="266" t="s">
        <v>9</v>
      </c>
      <c r="S5" s="266" t="s">
        <v>10</v>
      </c>
    </row>
    <row r="6" spans="3:19" ht="14.25" customHeight="1">
      <c r="C6" s="8"/>
      <c r="D6" s="552" t="s">
        <v>11</v>
      </c>
      <c r="E6" s="9"/>
      <c r="F6" s="9"/>
      <c r="I6" s="8"/>
      <c r="J6" s="8"/>
      <c r="K6" s="8"/>
      <c r="P6" s="88">
        <f>IF($D$8="y",0.05,IF($F$8="y",0.2,0.1))</f>
        <v>0.1</v>
      </c>
      <c r="Q6" s="88">
        <f>IF($D$8="y",0.15,IF($F$8="y",0.6,0.3))</f>
        <v>0.3</v>
      </c>
      <c r="R6" s="88">
        <f>IF($D$8="y",0.2,IF($F$8="y",0.8,0.4))</f>
        <v>0.4</v>
      </c>
      <c r="S6" s="88">
        <f>IF($D$8="y",0.25,IF($F$8="y",1,0.5))</f>
        <v>0.5</v>
      </c>
    </row>
    <row r="7" spans="2:11" ht="14.25" customHeight="1">
      <c r="B7" s="383"/>
      <c r="D7" s="2" t="s">
        <v>12</v>
      </c>
      <c r="E7" s="2" t="s">
        <v>13</v>
      </c>
      <c r="F7" s="2" t="s">
        <v>14</v>
      </c>
      <c r="I7" s="8"/>
      <c r="J7" s="8"/>
      <c r="K7" s="8"/>
    </row>
    <row r="8" spans="2:11" ht="14.25" customHeight="1">
      <c r="B8" s="383"/>
      <c r="D8" s="556"/>
      <c r="E8" s="556" t="s">
        <v>15</v>
      </c>
      <c r="F8" s="556"/>
      <c r="I8" s="8"/>
      <c r="J8" s="8"/>
      <c r="K8" s="8"/>
    </row>
    <row r="11" spans="2:14" ht="12.75">
      <c r="B11" s="554" t="s">
        <v>16</v>
      </c>
      <c r="C11" s="8"/>
      <c r="D11" s="8"/>
      <c r="E11" s="8"/>
      <c r="F11" s="8"/>
      <c r="G11" s="8"/>
      <c r="H11" s="8"/>
      <c r="I11" s="8"/>
      <c r="N11" s="13" t="s">
        <v>17</v>
      </c>
    </row>
    <row r="13" spans="1:14" ht="18.75" thickBot="1">
      <c r="A13" s="20" t="s">
        <v>18</v>
      </c>
      <c r="B13" s="21"/>
      <c r="C13" s="21"/>
      <c r="D13" s="21"/>
      <c r="E13" s="21"/>
      <c r="F13" s="21"/>
      <c r="G13" s="21"/>
      <c r="H13" s="21"/>
      <c r="I13" s="22"/>
      <c r="J13" s="22"/>
      <c r="K13" s="22"/>
      <c r="N13" s="14" t="s">
        <v>19</v>
      </c>
    </row>
    <row r="14" spans="1:11" ht="13.5" thickTop="1">
      <c r="A14" s="163" t="s">
        <v>20</v>
      </c>
      <c r="B14" s="17" t="s">
        <v>21</v>
      </c>
      <c r="C14" s="17" t="s">
        <v>22</v>
      </c>
      <c r="D14" s="17" t="s">
        <v>23</v>
      </c>
      <c r="E14" s="17" t="s">
        <v>24</v>
      </c>
      <c r="F14" s="17" t="s">
        <v>25</v>
      </c>
      <c r="G14" s="17" t="s">
        <v>26</v>
      </c>
      <c r="H14" s="17" t="s">
        <v>27</v>
      </c>
      <c r="I14" s="17" t="s">
        <v>28</v>
      </c>
      <c r="J14" s="17" t="s">
        <v>29</v>
      </c>
      <c r="K14" s="18" t="s">
        <v>30</v>
      </c>
    </row>
    <row r="15" spans="1:14" ht="13.5" thickBot="1">
      <c r="A15" s="19" t="s">
        <v>31</v>
      </c>
      <c r="B15" s="428">
        <v>20</v>
      </c>
      <c r="C15" s="428">
        <v>16</v>
      </c>
      <c r="D15" s="428">
        <v>16</v>
      </c>
      <c r="E15" s="428">
        <v>12</v>
      </c>
      <c r="F15" s="428">
        <v>6</v>
      </c>
      <c r="G15" s="428">
        <v>4</v>
      </c>
      <c r="H15" s="428"/>
      <c r="I15" s="428"/>
      <c r="J15" s="428"/>
      <c r="K15" s="429"/>
      <c r="N15" s="15" t="s">
        <v>32</v>
      </c>
    </row>
    <row r="16" spans="2:11" ht="14.25" thickBot="1" thickTop="1">
      <c r="B16" s="430"/>
      <c r="C16" s="430"/>
      <c r="D16" s="430"/>
      <c r="E16" s="430"/>
      <c r="F16" s="430"/>
      <c r="G16" s="430"/>
      <c r="H16" s="430"/>
      <c r="I16" s="430"/>
      <c r="J16" s="430"/>
      <c r="K16" s="430"/>
    </row>
    <row r="17" spans="1:24" ht="13.5" thickTop="1">
      <c r="A17" s="23" t="s">
        <v>33</v>
      </c>
      <c r="B17" s="431" t="s">
        <v>15</v>
      </c>
      <c r="C17" s="431"/>
      <c r="D17" s="431"/>
      <c r="E17" s="431"/>
      <c r="F17" s="431"/>
      <c r="G17" s="431"/>
      <c r="H17" s="431"/>
      <c r="I17" s="431"/>
      <c r="J17" s="431"/>
      <c r="K17" s="432"/>
      <c r="N17" s="88"/>
      <c r="O17" s="88">
        <f>IF((B17)="Y",0,0)</f>
        <v>0</v>
      </c>
      <c r="P17" s="88">
        <f>IF((C17)="Y",0,0)</f>
        <v>0</v>
      </c>
      <c r="Q17" s="88">
        <f aca="true" t="shared" si="0" ref="Q17:X17">IF((D17)="Y",0,0)</f>
        <v>0</v>
      </c>
      <c r="R17" s="88">
        <f t="shared" si="0"/>
        <v>0</v>
      </c>
      <c r="S17" s="88">
        <f t="shared" si="0"/>
        <v>0</v>
      </c>
      <c r="T17" s="88">
        <f t="shared" si="0"/>
        <v>0</v>
      </c>
      <c r="U17" s="88">
        <f t="shared" si="0"/>
        <v>0</v>
      </c>
      <c r="V17" s="88">
        <f t="shared" si="0"/>
        <v>0</v>
      </c>
      <c r="W17" s="88">
        <f t="shared" si="0"/>
        <v>0</v>
      </c>
      <c r="X17" s="88">
        <f t="shared" si="0"/>
        <v>0</v>
      </c>
    </row>
    <row r="18" spans="1:24" ht="12.75">
      <c r="A18" s="24" t="s">
        <v>34</v>
      </c>
      <c r="B18" s="433"/>
      <c r="C18" s="433" t="s">
        <v>15</v>
      </c>
      <c r="D18" s="433"/>
      <c r="E18" s="433"/>
      <c r="F18" s="433" t="s">
        <v>15</v>
      </c>
      <c r="G18" s="433" t="s">
        <v>15</v>
      </c>
      <c r="H18" s="433"/>
      <c r="I18" s="433"/>
      <c r="J18" s="433"/>
      <c r="K18" s="434"/>
      <c r="N18" s="88"/>
      <c r="O18" s="88">
        <f>IF((B18)="Y",2,0)</f>
        <v>0</v>
      </c>
      <c r="P18" s="88">
        <f>IF((C18)="Y",2,0)</f>
        <v>2</v>
      </c>
      <c r="Q18" s="88">
        <f aca="true" t="shared" si="1" ref="Q18:X18">IF((D18)="Y",2,0)</f>
        <v>0</v>
      </c>
      <c r="R18" s="88">
        <f t="shared" si="1"/>
        <v>0</v>
      </c>
      <c r="S18" s="88">
        <f t="shared" si="1"/>
        <v>2</v>
      </c>
      <c r="T18" s="88">
        <f t="shared" si="1"/>
        <v>2</v>
      </c>
      <c r="U18" s="88">
        <f t="shared" si="1"/>
        <v>0</v>
      </c>
      <c r="V18" s="88">
        <f t="shared" si="1"/>
        <v>0</v>
      </c>
      <c r="W18" s="88">
        <f t="shared" si="1"/>
        <v>0</v>
      </c>
      <c r="X18" s="88">
        <f t="shared" si="1"/>
        <v>0</v>
      </c>
    </row>
    <row r="19" spans="1:24" ht="12.75">
      <c r="A19" s="25" t="s">
        <v>35</v>
      </c>
      <c r="B19" s="435"/>
      <c r="C19" s="435"/>
      <c r="D19" s="435" t="s">
        <v>15</v>
      </c>
      <c r="E19" s="435"/>
      <c r="F19" s="435"/>
      <c r="G19" s="435" t="s">
        <v>15</v>
      </c>
      <c r="H19" s="435"/>
      <c r="I19" s="435"/>
      <c r="J19" s="435"/>
      <c r="K19" s="436"/>
      <c r="N19" s="88"/>
      <c r="O19" s="88">
        <f>IF((B19)="Y",1,0)</f>
        <v>0</v>
      </c>
      <c r="P19" s="88">
        <f>IF((C19)="Y",1,0)</f>
        <v>0</v>
      </c>
      <c r="Q19" s="88">
        <f aca="true" t="shared" si="2" ref="Q19:X19">IF((D19)="Y",1,0)</f>
        <v>1</v>
      </c>
      <c r="R19" s="88">
        <f t="shared" si="2"/>
        <v>0</v>
      </c>
      <c r="S19" s="88">
        <f t="shared" si="2"/>
        <v>0</v>
      </c>
      <c r="T19" s="88">
        <f t="shared" si="2"/>
        <v>1</v>
      </c>
      <c r="U19" s="88">
        <f t="shared" si="2"/>
        <v>0</v>
      </c>
      <c r="V19" s="88">
        <f t="shared" si="2"/>
        <v>0</v>
      </c>
      <c r="W19" s="88">
        <f t="shared" si="2"/>
        <v>0</v>
      </c>
      <c r="X19" s="88">
        <f t="shared" si="2"/>
        <v>0</v>
      </c>
    </row>
    <row r="20" spans="1:24" ht="12.75">
      <c r="A20" s="26" t="s">
        <v>36</v>
      </c>
      <c r="B20" s="437"/>
      <c r="C20" s="437"/>
      <c r="D20" s="437"/>
      <c r="E20" s="437"/>
      <c r="F20" s="437"/>
      <c r="G20" s="437"/>
      <c r="H20" s="437"/>
      <c r="I20" s="437"/>
      <c r="J20" s="437"/>
      <c r="K20" s="438"/>
      <c r="N20" s="88"/>
      <c r="O20" s="88">
        <f>IF((B20)="Y",2,0)</f>
        <v>0</v>
      </c>
      <c r="P20" s="88">
        <f>IF((C20)="Y",2,0)</f>
        <v>0</v>
      </c>
      <c r="Q20" s="88">
        <f aca="true" t="shared" si="3" ref="Q20:X20">IF((D20)="Y",2,0)</f>
        <v>0</v>
      </c>
      <c r="R20" s="88">
        <f t="shared" si="3"/>
        <v>0</v>
      </c>
      <c r="S20" s="88">
        <f t="shared" si="3"/>
        <v>0</v>
      </c>
      <c r="T20" s="88">
        <f t="shared" si="3"/>
        <v>0</v>
      </c>
      <c r="U20" s="88">
        <f t="shared" si="3"/>
        <v>0</v>
      </c>
      <c r="V20" s="88">
        <f t="shared" si="3"/>
        <v>0</v>
      </c>
      <c r="W20" s="88">
        <f t="shared" si="3"/>
        <v>0</v>
      </c>
      <c r="X20" s="88">
        <f t="shared" si="3"/>
        <v>0</v>
      </c>
    </row>
    <row r="21" spans="1:24" ht="12.75">
      <c r="A21" s="27" t="s">
        <v>37</v>
      </c>
      <c r="B21" s="439"/>
      <c r="C21" s="439"/>
      <c r="D21" s="439"/>
      <c r="E21" s="439" t="s">
        <v>15</v>
      </c>
      <c r="F21" s="439" t="s">
        <v>15</v>
      </c>
      <c r="G21" s="439"/>
      <c r="H21" s="439"/>
      <c r="I21" s="439"/>
      <c r="J21" s="439"/>
      <c r="K21" s="440"/>
      <c r="N21" s="88"/>
      <c r="O21" s="88">
        <f>IF((B21)="Y",-1,0)</f>
        <v>0</v>
      </c>
      <c r="P21" s="88">
        <f>IF((C21)="Y",-1,0)</f>
        <v>0</v>
      </c>
      <c r="Q21" s="88">
        <f aca="true" t="shared" si="4" ref="Q21:X21">IF((D21)="Y",-1,0)</f>
        <v>0</v>
      </c>
      <c r="R21" s="88">
        <f t="shared" si="4"/>
        <v>-1</v>
      </c>
      <c r="S21" s="88">
        <f t="shared" si="4"/>
        <v>-1</v>
      </c>
      <c r="T21" s="88">
        <f t="shared" si="4"/>
        <v>0</v>
      </c>
      <c r="U21" s="88">
        <f t="shared" si="4"/>
        <v>0</v>
      </c>
      <c r="V21" s="88">
        <f t="shared" si="4"/>
        <v>0</v>
      </c>
      <c r="W21" s="88">
        <f t="shared" si="4"/>
        <v>0</v>
      </c>
      <c r="X21" s="88">
        <f t="shared" si="4"/>
        <v>0</v>
      </c>
    </row>
    <row r="22" spans="1:24" ht="12.75">
      <c r="A22" s="28" t="s">
        <v>38</v>
      </c>
      <c r="B22" s="441"/>
      <c r="C22" s="441"/>
      <c r="D22" s="441"/>
      <c r="E22" s="441"/>
      <c r="F22" s="441"/>
      <c r="G22" s="441"/>
      <c r="H22" s="441"/>
      <c r="I22" s="441"/>
      <c r="J22" s="441"/>
      <c r="K22" s="442"/>
      <c r="N22" s="88"/>
      <c r="O22" s="88">
        <f>IF((B22)="Y",-2,0)</f>
        <v>0</v>
      </c>
      <c r="P22" s="88">
        <f>IF((C22)="Y",-2,0)</f>
        <v>0</v>
      </c>
      <c r="Q22" s="88">
        <f aca="true" t="shared" si="5" ref="Q22:X22">IF((D22)="Y",-2,0)</f>
        <v>0</v>
      </c>
      <c r="R22" s="88">
        <f t="shared" si="5"/>
        <v>0</v>
      </c>
      <c r="S22" s="88">
        <f t="shared" si="5"/>
        <v>0</v>
      </c>
      <c r="T22" s="88">
        <f t="shared" si="5"/>
        <v>0</v>
      </c>
      <c r="U22" s="88">
        <f t="shared" si="5"/>
        <v>0</v>
      </c>
      <c r="V22" s="88">
        <f t="shared" si="5"/>
        <v>0</v>
      </c>
      <c r="W22" s="88">
        <f t="shared" si="5"/>
        <v>0</v>
      </c>
      <c r="X22" s="88">
        <f t="shared" si="5"/>
        <v>0</v>
      </c>
    </row>
    <row r="23" spans="1:24" ht="12.75">
      <c r="A23" s="29" t="s">
        <v>39</v>
      </c>
      <c r="B23" s="443"/>
      <c r="C23" s="443"/>
      <c r="D23" s="443"/>
      <c r="E23" s="443"/>
      <c r="F23" s="443"/>
      <c r="G23" s="443"/>
      <c r="H23" s="443"/>
      <c r="I23" s="443"/>
      <c r="J23" s="443"/>
      <c r="K23" s="444"/>
      <c r="N23" s="88"/>
      <c r="O23" s="88">
        <f>IF((B23)="Y",-3,0)</f>
        <v>0</v>
      </c>
      <c r="P23" s="88">
        <f>IF((C23)="Y",-3,0)</f>
        <v>0</v>
      </c>
      <c r="Q23" s="88">
        <f aca="true" t="shared" si="6" ref="Q23:X23">IF((D23)="Y",-3,0)</f>
        <v>0</v>
      </c>
      <c r="R23" s="88">
        <f t="shared" si="6"/>
        <v>0</v>
      </c>
      <c r="S23" s="88">
        <f t="shared" si="6"/>
        <v>0</v>
      </c>
      <c r="T23" s="88">
        <f t="shared" si="6"/>
        <v>0</v>
      </c>
      <c r="U23" s="88">
        <f t="shared" si="6"/>
        <v>0</v>
      </c>
      <c r="V23" s="88">
        <f t="shared" si="6"/>
        <v>0</v>
      </c>
      <c r="W23" s="88">
        <f t="shared" si="6"/>
        <v>0</v>
      </c>
      <c r="X23" s="88">
        <f t="shared" si="6"/>
        <v>0</v>
      </c>
    </row>
    <row r="24" spans="1:24" ht="13.5" thickBot="1">
      <c r="A24" s="30" t="s">
        <v>40</v>
      </c>
      <c r="B24" s="445"/>
      <c r="C24" s="445"/>
      <c r="D24" s="445"/>
      <c r="E24" s="445"/>
      <c r="F24" s="445"/>
      <c r="G24" s="445"/>
      <c r="H24" s="445"/>
      <c r="I24" s="445"/>
      <c r="J24" s="445"/>
      <c r="K24" s="446"/>
      <c r="N24" s="88"/>
      <c r="O24" s="88">
        <f>IF((B24)="Y",1,0)</f>
        <v>0</v>
      </c>
      <c r="P24" s="88">
        <f>IF((C24)="Y",1,0)</f>
        <v>0</v>
      </c>
      <c r="Q24" s="88">
        <f aca="true" t="shared" si="7" ref="Q24:X24">IF((D24)="Y",1,0)</f>
        <v>0</v>
      </c>
      <c r="R24" s="88">
        <f t="shared" si="7"/>
        <v>0</v>
      </c>
      <c r="S24" s="88">
        <f t="shared" si="7"/>
        <v>0</v>
      </c>
      <c r="T24" s="88">
        <f t="shared" si="7"/>
        <v>0</v>
      </c>
      <c r="U24" s="88">
        <f t="shared" si="7"/>
        <v>0</v>
      </c>
      <c r="V24" s="88">
        <f t="shared" si="7"/>
        <v>0</v>
      </c>
      <c r="W24" s="88">
        <f t="shared" si="7"/>
        <v>0</v>
      </c>
      <c r="X24" s="88">
        <f t="shared" si="7"/>
        <v>0</v>
      </c>
    </row>
    <row r="25" spans="1:24" ht="14.25" thickBot="1" thickTop="1">
      <c r="A25" s="1"/>
      <c r="B25" s="447"/>
      <c r="C25" s="447"/>
      <c r="D25" s="447"/>
      <c r="E25" s="447"/>
      <c r="F25" s="447"/>
      <c r="G25" s="447"/>
      <c r="H25" s="447"/>
      <c r="I25" s="447"/>
      <c r="J25" s="447"/>
      <c r="K25" s="447"/>
      <c r="N25" s="89" t="s">
        <v>41</v>
      </c>
      <c r="O25" s="90">
        <f aca="true" t="shared" si="8" ref="O25:X25">SUM(O17:O24)</f>
        <v>0</v>
      </c>
      <c r="P25" s="90">
        <f t="shared" si="8"/>
        <v>2</v>
      </c>
      <c r="Q25" s="90">
        <f t="shared" si="8"/>
        <v>1</v>
      </c>
      <c r="R25" s="90">
        <f t="shared" si="8"/>
        <v>-1</v>
      </c>
      <c r="S25" s="90">
        <f t="shared" si="8"/>
        <v>1</v>
      </c>
      <c r="T25" s="90">
        <f t="shared" si="8"/>
        <v>3</v>
      </c>
      <c r="U25" s="90">
        <f t="shared" si="8"/>
        <v>0</v>
      </c>
      <c r="V25" s="90">
        <f t="shared" si="8"/>
        <v>0</v>
      </c>
      <c r="W25" s="90">
        <f t="shared" si="8"/>
        <v>0</v>
      </c>
      <c r="X25" s="90">
        <f t="shared" si="8"/>
        <v>0</v>
      </c>
    </row>
    <row r="26" spans="1:24" ht="13.5" thickTop="1">
      <c r="A26" s="31" t="s">
        <v>42</v>
      </c>
      <c r="B26" s="448"/>
      <c r="C26" s="448"/>
      <c r="D26" s="448"/>
      <c r="E26" s="448"/>
      <c r="F26" s="448"/>
      <c r="G26" s="448"/>
      <c r="H26" s="448"/>
      <c r="I26" s="448"/>
      <c r="J26" s="448"/>
      <c r="K26" s="449"/>
      <c r="N26" s="88"/>
      <c r="O26" s="91">
        <f aca="true" t="shared" si="9" ref="O26:X26">IF((B26)="Y",(O25+5)*5,0)</f>
        <v>0</v>
      </c>
      <c r="P26" s="91">
        <f t="shared" si="9"/>
        <v>0</v>
      </c>
      <c r="Q26" s="91">
        <f t="shared" si="9"/>
        <v>0</v>
      </c>
      <c r="R26" s="91">
        <f t="shared" si="9"/>
        <v>0</v>
      </c>
      <c r="S26" s="91">
        <f t="shared" si="9"/>
        <v>0</v>
      </c>
      <c r="T26" s="91">
        <f t="shared" si="9"/>
        <v>0</v>
      </c>
      <c r="U26" s="91">
        <f t="shared" si="9"/>
        <v>0</v>
      </c>
      <c r="V26" s="91">
        <f t="shared" si="9"/>
        <v>0</v>
      </c>
      <c r="W26" s="91">
        <f t="shared" si="9"/>
        <v>0</v>
      </c>
      <c r="X26" s="91">
        <f t="shared" si="9"/>
        <v>0</v>
      </c>
    </row>
    <row r="27" spans="1:24" ht="12.75">
      <c r="A27" s="32" t="s">
        <v>43</v>
      </c>
      <c r="B27" s="450"/>
      <c r="C27" s="450"/>
      <c r="D27" s="450"/>
      <c r="E27" s="450" t="s">
        <v>15</v>
      </c>
      <c r="F27" s="450" t="s">
        <v>15</v>
      </c>
      <c r="G27" s="450"/>
      <c r="H27" s="450"/>
      <c r="I27" s="450"/>
      <c r="J27" s="450"/>
      <c r="K27" s="451"/>
      <c r="N27" s="88"/>
      <c r="O27" s="91">
        <f aca="true" t="shared" si="10" ref="O27:X27">IF((B27)="Y",(O25+5)*50,0)</f>
        <v>0</v>
      </c>
      <c r="P27" s="91">
        <f t="shared" si="10"/>
        <v>0</v>
      </c>
      <c r="Q27" s="91">
        <f t="shared" si="10"/>
        <v>0</v>
      </c>
      <c r="R27" s="91">
        <f t="shared" si="10"/>
        <v>200</v>
      </c>
      <c r="S27" s="91">
        <f t="shared" si="10"/>
        <v>300</v>
      </c>
      <c r="T27" s="91">
        <f t="shared" si="10"/>
        <v>0</v>
      </c>
      <c r="U27" s="91">
        <f t="shared" si="10"/>
        <v>0</v>
      </c>
      <c r="V27" s="91">
        <f t="shared" si="10"/>
        <v>0</v>
      </c>
      <c r="W27" s="91">
        <f t="shared" si="10"/>
        <v>0</v>
      </c>
      <c r="X27" s="91">
        <f t="shared" si="10"/>
        <v>0</v>
      </c>
    </row>
    <row r="28" spans="1:24" ht="12.75">
      <c r="A28" s="33" t="s">
        <v>44</v>
      </c>
      <c r="B28" s="452" t="s">
        <v>15</v>
      </c>
      <c r="C28" s="452" t="s">
        <v>15</v>
      </c>
      <c r="D28" s="452" t="s">
        <v>15</v>
      </c>
      <c r="E28" s="452"/>
      <c r="F28" s="452"/>
      <c r="G28" s="452" t="s">
        <v>15</v>
      </c>
      <c r="H28" s="452"/>
      <c r="I28" s="452"/>
      <c r="J28" s="452"/>
      <c r="K28" s="453"/>
      <c r="N28" s="88"/>
      <c r="O28" s="91">
        <f aca="true" t="shared" si="11" ref="O28:X28">IF((B28)="Y",(O25+5)*100,0)</f>
        <v>500</v>
      </c>
      <c r="P28" s="91">
        <f t="shared" si="11"/>
        <v>700</v>
      </c>
      <c r="Q28" s="91">
        <f t="shared" si="11"/>
        <v>600</v>
      </c>
      <c r="R28" s="91">
        <f t="shared" si="11"/>
        <v>0</v>
      </c>
      <c r="S28" s="91">
        <f t="shared" si="11"/>
        <v>0</v>
      </c>
      <c r="T28" s="91">
        <f t="shared" si="11"/>
        <v>800</v>
      </c>
      <c r="U28" s="91">
        <f t="shared" si="11"/>
        <v>0</v>
      </c>
      <c r="V28" s="91">
        <f t="shared" si="11"/>
        <v>0</v>
      </c>
      <c r="W28" s="91">
        <f t="shared" si="11"/>
        <v>0</v>
      </c>
      <c r="X28" s="91">
        <f t="shared" si="11"/>
        <v>0</v>
      </c>
    </row>
    <row r="29" spans="1:24" ht="13.5" thickBot="1">
      <c r="A29" s="34" t="s">
        <v>5</v>
      </c>
      <c r="B29" s="454"/>
      <c r="C29" s="454"/>
      <c r="D29" s="454"/>
      <c r="E29" s="454"/>
      <c r="F29" s="454"/>
      <c r="G29" s="454"/>
      <c r="H29" s="454"/>
      <c r="I29" s="454"/>
      <c r="J29" s="454"/>
      <c r="K29" s="455"/>
      <c r="N29" s="88"/>
      <c r="O29" s="91">
        <f aca="true" t="shared" si="12" ref="O29:X29">IF((B29)="Y",(O25+5)*300,0)</f>
        <v>0</v>
      </c>
      <c r="P29" s="91">
        <f t="shared" si="12"/>
        <v>0</v>
      </c>
      <c r="Q29" s="91">
        <f t="shared" si="12"/>
        <v>0</v>
      </c>
      <c r="R29" s="91">
        <f t="shared" si="12"/>
        <v>0</v>
      </c>
      <c r="S29" s="91">
        <f t="shared" si="12"/>
        <v>0</v>
      </c>
      <c r="T29" s="91">
        <f t="shared" si="12"/>
        <v>0</v>
      </c>
      <c r="U29" s="91">
        <f t="shared" si="12"/>
        <v>0</v>
      </c>
      <c r="V29" s="91">
        <f t="shared" si="12"/>
        <v>0</v>
      </c>
      <c r="W29" s="91">
        <f t="shared" si="12"/>
        <v>0</v>
      </c>
      <c r="X29" s="91">
        <f t="shared" si="12"/>
        <v>0</v>
      </c>
    </row>
    <row r="30" spans="2:24" ht="13.5" thickTop="1">
      <c r="B30" s="2"/>
      <c r="C30" s="2"/>
      <c r="D30" s="2"/>
      <c r="E30" s="2"/>
      <c r="F30" s="2"/>
      <c r="G30" s="2"/>
      <c r="H30" s="2"/>
      <c r="I30" s="2"/>
      <c r="J30" s="2"/>
      <c r="K30" s="2"/>
      <c r="N30" s="89" t="s">
        <v>45</v>
      </c>
      <c r="O30" s="92">
        <f aca="true" t="shared" si="13" ref="O30:X30">SUM(O26:O29)</f>
        <v>500</v>
      </c>
      <c r="P30" s="92">
        <f t="shared" si="13"/>
        <v>700</v>
      </c>
      <c r="Q30" s="92">
        <f t="shared" si="13"/>
        <v>600</v>
      </c>
      <c r="R30" s="92">
        <f t="shared" si="13"/>
        <v>200</v>
      </c>
      <c r="S30" s="92">
        <f t="shared" si="13"/>
        <v>300</v>
      </c>
      <c r="T30" s="92">
        <f t="shared" si="13"/>
        <v>800</v>
      </c>
      <c r="U30" s="92">
        <f t="shared" si="13"/>
        <v>0</v>
      </c>
      <c r="V30" s="92">
        <f t="shared" si="13"/>
        <v>0</v>
      </c>
      <c r="W30" s="92">
        <f t="shared" si="13"/>
        <v>0</v>
      </c>
      <c r="X30" s="92">
        <f t="shared" si="13"/>
        <v>0</v>
      </c>
    </row>
    <row r="31" spans="1:24" ht="12.75">
      <c r="A31" s="72" t="s">
        <v>46</v>
      </c>
      <c r="B31" s="242">
        <f aca="true" t="shared" si="14" ref="B31:K31">+(O30)*(B15)</f>
        <v>10000</v>
      </c>
      <c r="C31" s="242">
        <f t="shared" si="14"/>
        <v>11200</v>
      </c>
      <c r="D31" s="242">
        <f t="shared" si="14"/>
        <v>9600</v>
      </c>
      <c r="E31" s="242">
        <f t="shared" si="14"/>
        <v>2400</v>
      </c>
      <c r="F31" s="242">
        <f t="shared" si="14"/>
        <v>1800</v>
      </c>
      <c r="G31" s="242">
        <f t="shared" si="14"/>
        <v>3200</v>
      </c>
      <c r="H31" s="242">
        <f t="shared" si="14"/>
        <v>0</v>
      </c>
      <c r="I31" s="242">
        <f t="shared" si="14"/>
        <v>0</v>
      </c>
      <c r="J31" s="242">
        <f t="shared" si="14"/>
        <v>0</v>
      </c>
      <c r="K31" s="242">
        <f t="shared" si="14"/>
        <v>0</v>
      </c>
      <c r="N31" s="88"/>
      <c r="O31" s="88"/>
      <c r="P31" s="88"/>
      <c r="Q31" s="88"/>
      <c r="R31" s="88"/>
      <c r="S31" s="88"/>
      <c r="T31" s="88"/>
      <c r="U31" s="88"/>
      <c r="V31" s="88"/>
      <c r="W31" s="88"/>
      <c r="X31" s="88"/>
    </row>
    <row r="32" spans="1:24" ht="12.75">
      <c r="A32" s="3" t="s">
        <v>47</v>
      </c>
      <c r="B32" s="5">
        <f aca="true" t="shared" si="15" ref="B32:K32">+IF((B27)="Y",(B31)*$P$4,IF((B28)="y",(B31)*$R$4,IF((B29)="Y",(B31)*$S$4,0)))</f>
        <v>1000</v>
      </c>
      <c r="C32" s="5">
        <f t="shared" si="15"/>
        <v>1120</v>
      </c>
      <c r="D32" s="5">
        <f t="shared" si="15"/>
        <v>960</v>
      </c>
      <c r="E32" s="5">
        <f t="shared" si="15"/>
        <v>120</v>
      </c>
      <c r="F32" s="5">
        <f t="shared" si="15"/>
        <v>90</v>
      </c>
      <c r="G32" s="5">
        <f t="shared" si="15"/>
        <v>320</v>
      </c>
      <c r="H32" s="5">
        <f t="shared" si="15"/>
        <v>0</v>
      </c>
      <c r="I32" s="5">
        <f t="shared" si="15"/>
        <v>0</v>
      </c>
      <c r="J32" s="5">
        <f t="shared" si="15"/>
        <v>0</v>
      </c>
      <c r="K32" s="5">
        <f t="shared" si="15"/>
        <v>0</v>
      </c>
      <c r="N32" s="88"/>
      <c r="O32" s="88"/>
      <c r="P32" s="88"/>
      <c r="Q32" s="88"/>
      <c r="R32" s="88"/>
      <c r="S32" s="88"/>
      <c r="T32" s="88"/>
      <c r="U32" s="88"/>
      <c r="V32" s="88"/>
      <c r="W32" s="88"/>
      <c r="X32" s="88"/>
    </row>
    <row r="33" spans="14:24" ht="12.75">
      <c r="N33" s="88"/>
      <c r="O33" s="88"/>
      <c r="P33" s="88"/>
      <c r="Q33" s="88"/>
      <c r="R33" s="88"/>
      <c r="S33" s="88"/>
      <c r="T33" s="88"/>
      <c r="U33" s="88"/>
      <c r="V33" s="88"/>
      <c r="W33" s="88"/>
      <c r="X33" s="88"/>
    </row>
    <row r="34" spans="14:24" ht="12.75">
      <c r="N34" s="88"/>
      <c r="O34" s="88"/>
      <c r="P34" s="88"/>
      <c r="Q34" s="88"/>
      <c r="R34" s="88"/>
      <c r="S34" s="88"/>
      <c r="T34" s="88"/>
      <c r="U34" s="88"/>
      <c r="V34" s="88"/>
      <c r="W34" s="88"/>
      <c r="X34" s="88"/>
    </row>
    <row r="35" spans="1:24" ht="18.75" thickBot="1">
      <c r="A35" s="62" t="s">
        <v>48</v>
      </c>
      <c r="B35" s="22"/>
      <c r="C35" s="21"/>
      <c r="D35" s="21"/>
      <c r="E35" s="21"/>
      <c r="F35" s="21"/>
      <c r="G35" s="21"/>
      <c r="H35" s="21"/>
      <c r="I35" s="22"/>
      <c r="J35" s="22"/>
      <c r="K35" s="22"/>
      <c r="N35" s="93"/>
      <c r="O35" s="88"/>
      <c r="P35" s="88"/>
      <c r="Q35" s="88"/>
      <c r="R35" s="88"/>
      <c r="S35" s="88"/>
      <c r="T35" s="88"/>
      <c r="U35" s="88"/>
      <c r="V35" s="88"/>
      <c r="W35" s="88"/>
      <c r="X35" s="88"/>
    </row>
    <row r="36" spans="1:24" ht="13.5" thickTop="1">
      <c r="A36" s="16" t="s">
        <v>20</v>
      </c>
      <c r="B36" s="17" t="s">
        <v>21</v>
      </c>
      <c r="C36" s="17" t="s">
        <v>22</v>
      </c>
      <c r="D36" s="17" t="s">
        <v>23</v>
      </c>
      <c r="E36" s="17" t="s">
        <v>24</v>
      </c>
      <c r="F36" s="17" t="s">
        <v>25</v>
      </c>
      <c r="G36" s="17" t="s">
        <v>26</v>
      </c>
      <c r="H36" s="17" t="s">
        <v>27</v>
      </c>
      <c r="I36" s="17" t="s">
        <v>28</v>
      </c>
      <c r="J36" s="17" t="s">
        <v>29</v>
      </c>
      <c r="K36" s="18" t="s">
        <v>30</v>
      </c>
      <c r="N36" s="88"/>
      <c r="O36" s="88"/>
      <c r="P36" s="88"/>
      <c r="Q36" s="88"/>
      <c r="R36" s="88"/>
      <c r="S36" s="88"/>
      <c r="T36" s="88"/>
      <c r="U36" s="88"/>
      <c r="V36" s="88"/>
      <c r="W36" s="88"/>
      <c r="X36" s="88"/>
    </row>
    <row r="37" spans="1:24" ht="13.5" thickBot="1">
      <c r="A37" s="19" t="s">
        <v>31</v>
      </c>
      <c r="B37" s="428"/>
      <c r="C37" s="428"/>
      <c r="D37" s="428"/>
      <c r="E37" s="428"/>
      <c r="F37" s="428"/>
      <c r="G37" s="428"/>
      <c r="H37" s="428"/>
      <c r="I37" s="428"/>
      <c r="J37" s="428"/>
      <c r="K37" s="429"/>
      <c r="N37" s="93"/>
      <c r="O37" s="88"/>
      <c r="P37" s="88"/>
      <c r="Q37" s="88"/>
      <c r="R37" s="88"/>
      <c r="S37" s="88"/>
      <c r="T37" s="88"/>
      <c r="U37" s="88"/>
      <c r="V37" s="88"/>
      <c r="W37" s="88"/>
      <c r="X37" s="88"/>
    </row>
    <row r="38" spans="2:24" ht="14.25" thickBot="1" thickTop="1">
      <c r="B38" s="430"/>
      <c r="C38" s="430"/>
      <c r="D38" s="430"/>
      <c r="E38" s="430"/>
      <c r="F38" s="430"/>
      <c r="G38" s="430"/>
      <c r="H38" s="430"/>
      <c r="I38" s="430"/>
      <c r="J38" s="430"/>
      <c r="K38" s="430"/>
      <c r="N38" s="88"/>
      <c r="O38" s="88"/>
      <c r="P38" s="88"/>
      <c r="Q38" s="88"/>
      <c r="R38" s="88"/>
      <c r="S38" s="88"/>
      <c r="T38" s="88"/>
      <c r="U38" s="88"/>
      <c r="V38" s="88"/>
      <c r="W38" s="88"/>
      <c r="X38" s="88"/>
    </row>
    <row r="39" spans="1:24" ht="13.5" thickTop="1">
      <c r="A39" s="63" t="s">
        <v>33</v>
      </c>
      <c r="B39" s="456"/>
      <c r="C39" s="456"/>
      <c r="D39" s="456"/>
      <c r="E39" s="456"/>
      <c r="F39" s="456"/>
      <c r="G39" s="456"/>
      <c r="H39" s="456"/>
      <c r="I39" s="456"/>
      <c r="J39" s="456"/>
      <c r="K39" s="457"/>
      <c r="N39" s="88"/>
      <c r="O39" s="88">
        <f aca="true" t="shared" si="16" ref="O39:X39">IF((B39)="Y",0,0)</f>
        <v>0</v>
      </c>
      <c r="P39" s="88">
        <f t="shared" si="16"/>
        <v>0</v>
      </c>
      <c r="Q39" s="88">
        <f t="shared" si="16"/>
        <v>0</v>
      </c>
      <c r="R39" s="88">
        <f t="shared" si="16"/>
        <v>0</v>
      </c>
      <c r="S39" s="88">
        <f t="shared" si="16"/>
        <v>0</v>
      </c>
      <c r="T39" s="88">
        <f t="shared" si="16"/>
        <v>0</v>
      </c>
      <c r="U39" s="88">
        <f t="shared" si="16"/>
        <v>0</v>
      </c>
      <c r="V39" s="88">
        <f t="shared" si="16"/>
        <v>0</v>
      </c>
      <c r="W39" s="88">
        <f t="shared" si="16"/>
        <v>0</v>
      </c>
      <c r="X39" s="88">
        <f t="shared" si="16"/>
        <v>0</v>
      </c>
    </row>
    <row r="40" spans="1:24" ht="12.75">
      <c r="A40" s="64" t="s">
        <v>34</v>
      </c>
      <c r="B40" s="433"/>
      <c r="C40" s="433"/>
      <c r="D40" s="433"/>
      <c r="E40" s="433"/>
      <c r="F40" s="433"/>
      <c r="G40" s="433"/>
      <c r="H40" s="433"/>
      <c r="I40" s="433"/>
      <c r="J40" s="433"/>
      <c r="K40" s="458"/>
      <c r="N40" s="88"/>
      <c r="O40" s="88">
        <f aca="true" t="shared" si="17" ref="O40:X40">IF((B40)="Y",2,0)</f>
        <v>0</v>
      </c>
      <c r="P40" s="88">
        <f t="shared" si="17"/>
        <v>0</v>
      </c>
      <c r="Q40" s="88">
        <f t="shared" si="17"/>
        <v>0</v>
      </c>
      <c r="R40" s="88">
        <f t="shared" si="17"/>
        <v>0</v>
      </c>
      <c r="S40" s="88">
        <f t="shared" si="17"/>
        <v>0</v>
      </c>
      <c r="T40" s="88">
        <f t="shared" si="17"/>
        <v>0</v>
      </c>
      <c r="U40" s="88">
        <f t="shared" si="17"/>
        <v>0</v>
      </c>
      <c r="V40" s="88">
        <f t="shared" si="17"/>
        <v>0</v>
      </c>
      <c r="W40" s="88">
        <f t="shared" si="17"/>
        <v>0</v>
      </c>
      <c r="X40" s="88">
        <f t="shared" si="17"/>
        <v>0</v>
      </c>
    </row>
    <row r="41" spans="1:24" ht="12.75">
      <c r="A41" s="70" t="s">
        <v>35</v>
      </c>
      <c r="B41" s="435"/>
      <c r="C41" s="435"/>
      <c r="D41" s="435"/>
      <c r="E41" s="435"/>
      <c r="F41" s="435"/>
      <c r="G41" s="435"/>
      <c r="H41" s="435"/>
      <c r="I41" s="435"/>
      <c r="J41" s="435"/>
      <c r="K41" s="459"/>
      <c r="N41" s="88"/>
      <c r="O41" s="88">
        <f aca="true" t="shared" si="18" ref="O41:X41">IF((B41)="Y",1,0)</f>
        <v>0</v>
      </c>
      <c r="P41" s="88">
        <f t="shared" si="18"/>
        <v>0</v>
      </c>
      <c r="Q41" s="88">
        <f t="shared" si="18"/>
        <v>0</v>
      </c>
      <c r="R41" s="88">
        <f t="shared" si="18"/>
        <v>0</v>
      </c>
      <c r="S41" s="88">
        <f t="shared" si="18"/>
        <v>0</v>
      </c>
      <c r="T41" s="88">
        <f t="shared" si="18"/>
        <v>0</v>
      </c>
      <c r="U41" s="88">
        <f t="shared" si="18"/>
        <v>0</v>
      </c>
      <c r="V41" s="88">
        <f t="shared" si="18"/>
        <v>0</v>
      </c>
      <c r="W41" s="88">
        <f t="shared" si="18"/>
        <v>0</v>
      </c>
      <c r="X41" s="88">
        <f t="shared" si="18"/>
        <v>0</v>
      </c>
    </row>
    <row r="42" spans="1:24" ht="12.75">
      <c r="A42" s="65" t="s">
        <v>36</v>
      </c>
      <c r="B42" s="437"/>
      <c r="C42" s="437"/>
      <c r="D42" s="437"/>
      <c r="E42" s="437"/>
      <c r="F42" s="437"/>
      <c r="G42" s="437"/>
      <c r="H42" s="437"/>
      <c r="I42" s="437"/>
      <c r="J42" s="437"/>
      <c r="K42" s="460"/>
      <c r="N42" s="88"/>
      <c r="O42" s="88">
        <f aca="true" t="shared" si="19" ref="O42:X42">IF((B42)="Y",2,0)</f>
        <v>0</v>
      </c>
      <c r="P42" s="88">
        <f t="shared" si="19"/>
        <v>0</v>
      </c>
      <c r="Q42" s="88">
        <f t="shared" si="19"/>
        <v>0</v>
      </c>
      <c r="R42" s="88">
        <f t="shared" si="19"/>
        <v>0</v>
      </c>
      <c r="S42" s="88">
        <f t="shared" si="19"/>
        <v>0</v>
      </c>
      <c r="T42" s="88">
        <f t="shared" si="19"/>
        <v>0</v>
      </c>
      <c r="U42" s="88">
        <f t="shared" si="19"/>
        <v>0</v>
      </c>
      <c r="V42" s="88">
        <f t="shared" si="19"/>
        <v>0</v>
      </c>
      <c r="W42" s="88">
        <f t="shared" si="19"/>
        <v>0</v>
      </c>
      <c r="X42" s="88">
        <f t="shared" si="19"/>
        <v>0</v>
      </c>
    </row>
    <row r="43" spans="1:24" ht="12.75">
      <c r="A43" s="66" t="s">
        <v>37</v>
      </c>
      <c r="B43" s="439"/>
      <c r="C43" s="439"/>
      <c r="D43" s="439"/>
      <c r="E43" s="439"/>
      <c r="F43" s="439"/>
      <c r="G43" s="439"/>
      <c r="H43" s="439"/>
      <c r="I43" s="439"/>
      <c r="J43" s="439"/>
      <c r="K43" s="461"/>
      <c r="N43" s="88"/>
      <c r="O43" s="88">
        <f aca="true" t="shared" si="20" ref="O43:X43">IF((B43)="Y",-1,0)</f>
        <v>0</v>
      </c>
      <c r="P43" s="88">
        <f t="shared" si="20"/>
        <v>0</v>
      </c>
      <c r="Q43" s="88">
        <f t="shared" si="20"/>
        <v>0</v>
      </c>
      <c r="R43" s="88">
        <f t="shared" si="20"/>
        <v>0</v>
      </c>
      <c r="S43" s="88">
        <f t="shared" si="20"/>
        <v>0</v>
      </c>
      <c r="T43" s="88">
        <f t="shared" si="20"/>
        <v>0</v>
      </c>
      <c r="U43" s="88">
        <f t="shared" si="20"/>
        <v>0</v>
      </c>
      <c r="V43" s="88">
        <f t="shared" si="20"/>
        <v>0</v>
      </c>
      <c r="W43" s="88">
        <f t="shared" si="20"/>
        <v>0</v>
      </c>
      <c r="X43" s="88">
        <f t="shared" si="20"/>
        <v>0</v>
      </c>
    </row>
    <row r="44" spans="1:24" ht="12.75">
      <c r="A44" s="67" t="s">
        <v>38</v>
      </c>
      <c r="B44" s="441"/>
      <c r="C44" s="441"/>
      <c r="D44" s="441"/>
      <c r="E44" s="441"/>
      <c r="F44" s="441"/>
      <c r="G44" s="441"/>
      <c r="H44" s="441"/>
      <c r="I44" s="441"/>
      <c r="J44" s="441"/>
      <c r="K44" s="462"/>
      <c r="N44" s="88"/>
      <c r="O44" s="88">
        <f aca="true" t="shared" si="21" ref="O44:X44">IF((B44)="Y",-2,0)</f>
        <v>0</v>
      </c>
      <c r="P44" s="88">
        <f t="shared" si="21"/>
        <v>0</v>
      </c>
      <c r="Q44" s="88">
        <f t="shared" si="21"/>
        <v>0</v>
      </c>
      <c r="R44" s="88">
        <f t="shared" si="21"/>
        <v>0</v>
      </c>
      <c r="S44" s="88">
        <f t="shared" si="21"/>
        <v>0</v>
      </c>
      <c r="T44" s="88">
        <f t="shared" si="21"/>
        <v>0</v>
      </c>
      <c r="U44" s="88">
        <f t="shared" si="21"/>
        <v>0</v>
      </c>
      <c r="V44" s="88">
        <f t="shared" si="21"/>
        <v>0</v>
      </c>
      <c r="W44" s="88">
        <f t="shared" si="21"/>
        <v>0</v>
      </c>
      <c r="X44" s="88">
        <f t="shared" si="21"/>
        <v>0</v>
      </c>
    </row>
    <row r="45" spans="1:24" ht="12.75">
      <c r="A45" s="68" t="s">
        <v>39</v>
      </c>
      <c r="B45" s="443"/>
      <c r="C45" s="443"/>
      <c r="D45" s="443"/>
      <c r="E45" s="443"/>
      <c r="F45" s="443"/>
      <c r="G45" s="443"/>
      <c r="H45" s="443"/>
      <c r="I45" s="443"/>
      <c r="J45" s="443"/>
      <c r="K45" s="463"/>
      <c r="N45" s="88"/>
      <c r="O45" s="88">
        <f aca="true" t="shared" si="22" ref="O45:X45">IF((B45)="Y",-3,0)</f>
        <v>0</v>
      </c>
      <c r="P45" s="88">
        <f t="shared" si="22"/>
        <v>0</v>
      </c>
      <c r="Q45" s="88">
        <f t="shared" si="22"/>
        <v>0</v>
      </c>
      <c r="R45" s="88">
        <f t="shared" si="22"/>
        <v>0</v>
      </c>
      <c r="S45" s="88">
        <f t="shared" si="22"/>
        <v>0</v>
      </c>
      <c r="T45" s="88">
        <f t="shared" si="22"/>
        <v>0</v>
      </c>
      <c r="U45" s="88">
        <f t="shared" si="22"/>
        <v>0</v>
      </c>
      <c r="V45" s="88">
        <f t="shared" si="22"/>
        <v>0</v>
      </c>
      <c r="W45" s="88">
        <f t="shared" si="22"/>
        <v>0</v>
      </c>
      <c r="X45" s="88">
        <f t="shared" si="22"/>
        <v>0</v>
      </c>
    </row>
    <row r="46" spans="1:24" ht="13.5" thickBot="1">
      <c r="A46" s="69" t="s">
        <v>40</v>
      </c>
      <c r="B46" s="464"/>
      <c r="C46" s="464"/>
      <c r="D46" s="464"/>
      <c r="E46" s="464"/>
      <c r="F46" s="464"/>
      <c r="G46" s="464"/>
      <c r="H46" s="464"/>
      <c r="I46" s="464"/>
      <c r="J46" s="464"/>
      <c r="K46" s="465"/>
      <c r="N46" s="88"/>
      <c r="O46" s="88">
        <f aca="true" t="shared" si="23" ref="O46:X46">IF((B46)="Y",1,0)</f>
        <v>0</v>
      </c>
      <c r="P46" s="88">
        <f t="shared" si="23"/>
        <v>0</v>
      </c>
      <c r="Q46" s="88">
        <f t="shared" si="23"/>
        <v>0</v>
      </c>
      <c r="R46" s="88">
        <f t="shared" si="23"/>
        <v>0</v>
      </c>
      <c r="S46" s="88">
        <f t="shared" si="23"/>
        <v>0</v>
      </c>
      <c r="T46" s="88">
        <f t="shared" si="23"/>
        <v>0</v>
      </c>
      <c r="U46" s="88">
        <f t="shared" si="23"/>
        <v>0</v>
      </c>
      <c r="V46" s="88">
        <f t="shared" si="23"/>
        <v>0</v>
      </c>
      <c r="W46" s="88">
        <f t="shared" si="23"/>
        <v>0</v>
      </c>
      <c r="X46" s="88">
        <f t="shared" si="23"/>
        <v>0</v>
      </c>
    </row>
    <row r="47" spans="1:24" ht="14.25" thickBot="1" thickTop="1">
      <c r="A47" s="1"/>
      <c r="B47" s="447"/>
      <c r="C47" s="447"/>
      <c r="D47" s="447"/>
      <c r="E47" s="447"/>
      <c r="F47" s="447"/>
      <c r="G47" s="447"/>
      <c r="H47" s="447"/>
      <c r="I47" s="447"/>
      <c r="J47" s="447"/>
      <c r="K47" s="447"/>
      <c r="N47" s="89" t="s">
        <v>41</v>
      </c>
      <c r="O47" s="90">
        <f aca="true" t="shared" si="24" ref="O47:X47">SUM(O39:O46)</f>
        <v>0</v>
      </c>
      <c r="P47" s="90">
        <f t="shared" si="24"/>
        <v>0</v>
      </c>
      <c r="Q47" s="90">
        <f t="shared" si="24"/>
        <v>0</v>
      </c>
      <c r="R47" s="90">
        <f t="shared" si="24"/>
        <v>0</v>
      </c>
      <c r="S47" s="90">
        <f t="shared" si="24"/>
        <v>0</v>
      </c>
      <c r="T47" s="90">
        <f t="shared" si="24"/>
        <v>0</v>
      </c>
      <c r="U47" s="90">
        <f t="shared" si="24"/>
        <v>0</v>
      </c>
      <c r="V47" s="90">
        <f t="shared" si="24"/>
        <v>0</v>
      </c>
      <c r="W47" s="90">
        <f t="shared" si="24"/>
        <v>0</v>
      </c>
      <c r="X47" s="90">
        <f t="shared" si="24"/>
        <v>0</v>
      </c>
    </row>
    <row r="48" spans="1:24" ht="13.5" thickTop="1">
      <c r="A48" s="31" t="s">
        <v>42</v>
      </c>
      <c r="B48" s="448"/>
      <c r="C48" s="448"/>
      <c r="D48" s="448"/>
      <c r="E48" s="448"/>
      <c r="F48" s="448"/>
      <c r="G48" s="448"/>
      <c r="H48" s="448"/>
      <c r="I48" s="448"/>
      <c r="J48" s="448"/>
      <c r="K48" s="449"/>
      <c r="N48" s="88"/>
      <c r="O48" s="91">
        <f>IF((B48)="Y",(O47+4)*5,0)</f>
        <v>0</v>
      </c>
      <c r="P48" s="91">
        <f aca="true" t="shared" si="25" ref="P48:X48">IF((C48)="Y",(P47+4)*5,0)</f>
        <v>0</v>
      </c>
      <c r="Q48" s="91">
        <f t="shared" si="25"/>
        <v>0</v>
      </c>
      <c r="R48" s="91">
        <f t="shared" si="25"/>
        <v>0</v>
      </c>
      <c r="S48" s="91">
        <f t="shared" si="25"/>
        <v>0</v>
      </c>
      <c r="T48" s="91">
        <f t="shared" si="25"/>
        <v>0</v>
      </c>
      <c r="U48" s="91">
        <f t="shared" si="25"/>
        <v>0</v>
      </c>
      <c r="V48" s="91">
        <f t="shared" si="25"/>
        <v>0</v>
      </c>
      <c r="W48" s="91">
        <f t="shared" si="25"/>
        <v>0</v>
      </c>
      <c r="X48" s="91">
        <f t="shared" si="25"/>
        <v>0</v>
      </c>
    </row>
    <row r="49" spans="1:24" ht="12.75">
      <c r="A49" s="32" t="s">
        <v>43</v>
      </c>
      <c r="B49" s="450"/>
      <c r="C49" s="450"/>
      <c r="D49" s="450"/>
      <c r="E49" s="450"/>
      <c r="F49" s="450"/>
      <c r="G49" s="450"/>
      <c r="H49" s="450"/>
      <c r="I49" s="450"/>
      <c r="J49" s="450"/>
      <c r="K49" s="451"/>
      <c r="N49" s="88"/>
      <c r="O49" s="91">
        <f>IF((B49)="Y",(O47+4)*50,0)</f>
        <v>0</v>
      </c>
      <c r="P49" s="91">
        <f aca="true" t="shared" si="26" ref="P49:X49">IF((C49)="Y",(P47+4)*50,0)</f>
        <v>0</v>
      </c>
      <c r="Q49" s="91">
        <f t="shared" si="26"/>
        <v>0</v>
      </c>
      <c r="R49" s="91">
        <f t="shared" si="26"/>
        <v>0</v>
      </c>
      <c r="S49" s="91">
        <f t="shared" si="26"/>
        <v>0</v>
      </c>
      <c r="T49" s="91">
        <f t="shared" si="26"/>
        <v>0</v>
      </c>
      <c r="U49" s="91">
        <f t="shared" si="26"/>
        <v>0</v>
      </c>
      <c r="V49" s="91">
        <f t="shared" si="26"/>
        <v>0</v>
      </c>
      <c r="W49" s="91">
        <f t="shared" si="26"/>
        <v>0</v>
      </c>
      <c r="X49" s="91">
        <f t="shared" si="26"/>
        <v>0</v>
      </c>
    </row>
    <row r="50" spans="1:24" ht="12.75">
      <c r="A50" s="33" t="s">
        <v>44</v>
      </c>
      <c r="B50" s="452"/>
      <c r="C50" s="452"/>
      <c r="D50" s="452"/>
      <c r="E50" s="452"/>
      <c r="F50" s="452"/>
      <c r="G50" s="452"/>
      <c r="H50" s="452"/>
      <c r="I50" s="452"/>
      <c r="J50" s="452"/>
      <c r="K50" s="453"/>
      <c r="N50" s="88"/>
      <c r="O50" s="91">
        <f>IF((B50)="Y",(O47+4)*100,0)</f>
        <v>0</v>
      </c>
      <c r="P50" s="91">
        <f aca="true" t="shared" si="27" ref="P50:X50">IF((C50)="Y",(P47+4)*100,0)</f>
        <v>0</v>
      </c>
      <c r="Q50" s="91">
        <f t="shared" si="27"/>
        <v>0</v>
      </c>
      <c r="R50" s="91">
        <f t="shared" si="27"/>
        <v>0</v>
      </c>
      <c r="S50" s="91">
        <f t="shared" si="27"/>
        <v>0</v>
      </c>
      <c r="T50" s="91">
        <f t="shared" si="27"/>
        <v>0</v>
      </c>
      <c r="U50" s="91">
        <f t="shared" si="27"/>
        <v>0</v>
      </c>
      <c r="V50" s="91">
        <f t="shared" si="27"/>
        <v>0</v>
      </c>
      <c r="W50" s="91">
        <f t="shared" si="27"/>
        <v>0</v>
      </c>
      <c r="X50" s="91">
        <f t="shared" si="27"/>
        <v>0</v>
      </c>
    </row>
    <row r="51" spans="1:24" ht="13.5" thickBot="1">
      <c r="A51" s="34" t="s">
        <v>5</v>
      </c>
      <c r="B51" s="454"/>
      <c r="C51" s="454"/>
      <c r="D51" s="454"/>
      <c r="E51" s="454"/>
      <c r="F51" s="454"/>
      <c r="G51" s="454"/>
      <c r="H51" s="454"/>
      <c r="I51" s="454"/>
      <c r="J51" s="454"/>
      <c r="K51" s="455"/>
      <c r="N51" s="88"/>
      <c r="O51" s="91">
        <f>IF((B51)="Y",(O47+4)*300,0)</f>
        <v>0</v>
      </c>
      <c r="P51" s="91">
        <f aca="true" t="shared" si="28" ref="P51:X51">IF((C51)="Y",(P47+4)*300,0)</f>
        <v>0</v>
      </c>
      <c r="Q51" s="91">
        <f t="shared" si="28"/>
        <v>0</v>
      </c>
      <c r="R51" s="91">
        <f t="shared" si="28"/>
        <v>0</v>
      </c>
      <c r="S51" s="91">
        <f t="shared" si="28"/>
        <v>0</v>
      </c>
      <c r="T51" s="91">
        <f t="shared" si="28"/>
        <v>0</v>
      </c>
      <c r="U51" s="91">
        <f t="shared" si="28"/>
        <v>0</v>
      </c>
      <c r="V51" s="91">
        <f t="shared" si="28"/>
        <v>0</v>
      </c>
      <c r="W51" s="91">
        <f t="shared" si="28"/>
        <v>0</v>
      </c>
      <c r="X51" s="91">
        <f t="shared" si="28"/>
        <v>0</v>
      </c>
    </row>
    <row r="52" spans="2:24" ht="13.5" thickTop="1">
      <c r="B52" s="2"/>
      <c r="C52" s="2"/>
      <c r="D52" s="2"/>
      <c r="E52" s="2"/>
      <c r="F52" s="2"/>
      <c r="G52" s="2"/>
      <c r="H52" s="2"/>
      <c r="I52" s="2"/>
      <c r="J52" s="2"/>
      <c r="K52" s="2"/>
      <c r="N52" s="89" t="s">
        <v>45</v>
      </c>
      <c r="O52" s="92">
        <f aca="true" t="shared" si="29" ref="O52:X52">SUM(O48:O51)</f>
        <v>0</v>
      </c>
      <c r="P52" s="92">
        <f t="shared" si="29"/>
        <v>0</v>
      </c>
      <c r="Q52" s="92">
        <f t="shared" si="29"/>
        <v>0</v>
      </c>
      <c r="R52" s="92">
        <f t="shared" si="29"/>
        <v>0</v>
      </c>
      <c r="S52" s="92">
        <f t="shared" si="29"/>
        <v>0</v>
      </c>
      <c r="T52" s="92">
        <f t="shared" si="29"/>
        <v>0</v>
      </c>
      <c r="U52" s="92">
        <f t="shared" si="29"/>
        <v>0</v>
      </c>
      <c r="V52" s="92">
        <f t="shared" si="29"/>
        <v>0</v>
      </c>
      <c r="W52" s="92">
        <f t="shared" si="29"/>
        <v>0</v>
      </c>
      <c r="X52" s="92">
        <f t="shared" si="29"/>
        <v>0</v>
      </c>
    </row>
    <row r="53" spans="1:24" ht="12.75">
      <c r="A53" s="71" t="s">
        <v>46</v>
      </c>
      <c r="B53" s="243">
        <f aca="true" t="shared" si="30" ref="B53:K53">+(O52)*(B37)</f>
        <v>0</v>
      </c>
      <c r="C53" s="243">
        <f t="shared" si="30"/>
        <v>0</v>
      </c>
      <c r="D53" s="243">
        <f t="shared" si="30"/>
        <v>0</v>
      </c>
      <c r="E53" s="243">
        <f t="shared" si="30"/>
        <v>0</v>
      </c>
      <c r="F53" s="243">
        <f t="shared" si="30"/>
        <v>0</v>
      </c>
      <c r="G53" s="243">
        <f t="shared" si="30"/>
        <v>0</v>
      </c>
      <c r="H53" s="243">
        <f t="shared" si="30"/>
        <v>0</v>
      </c>
      <c r="I53" s="243">
        <f t="shared" si="30"/>
        <v>0</v>
      </c>
      <c r="J53" s="243">
        <f t="shared" si="30"/>
        <v>0</v>
      </c>
      <c r="K53" s="243">
        <f t="shared" si="30"/>
        <v>0</v>
      </c>
      <c r="N53" s="88"/>
      <c r="O53" s="88"/>
      <c r="P53" s="88"/>
      <c r="Q53" s="88"/>
      <c r="R53" s="88"/>
      <c r="S53" s="88"/>
      <c r="T53" s="88"/>
      <c r="U53" s="88"/>
      <c r="V53" s="88"/>
      <c r="W53" s="88"/>
      <c r="X53" s="88"/>
    </row>
    <row r="54" spans="1:24" ht="12.75">
      <c r="A54" s="3" t="s">
        <v>47</v>
      </c>
      <c r="B54" s="5">
        <f aca="true" t="shared" si="31" ref="B54:K54">+IF((B49)="Y",(B53)*$P$4,IF((B50)="y",(B53)*$R$4,IF((B51)="Y",(B53)*$S$4,0)))</f>
        <v>0</v>
      </c>
      <c r="C54" s="5">
        <f t="shared" si="31"/>
        <v>0</v>
      </c>
      <c r="D54" s="5">
        <f t="shared" si="31"/>
        <v>0</v>
      </c>
      <c r="E54" s="5">
        <f t="shared" si="31"/>
        <v>0</v>
      </c>
      <c r="F54" s="5">
        <f t="shared" si="31"/>
        <v>0</v>
      </c>
      <c r="G54" s="5">
        <f t="shared" si="31"/>
        <v>0</v>
      </c>
      <c r="H54" s="5">
        <f t="shared" si="31"/>
        <v>0</v>
      </c>
      <c r="I54" s="5">
        <f t="shared" si="31"/>
        <v>0</v>
      </c>
      <c r="J54" s="5">
        <f t="shared" si="31"/>
        <v>0</v>
      </c>
      <c r="K54" s="5">
        <f t="shared" si="31"/>
        <v>0</v>
      </c>
      <c r="N54" s="88"/>
      <c r="O54" s="88"/>
      <c r="P54" s="88"/>
      <c r="Q54" s="88"/>
      <c r="R54" s="88"/>
      <c r="S54" s="88"/>
      <c r="T54" s="88"/>
      <c r="U54" s="88"/>
      <c r="V54" s="88"/>
      <c r="W54" s="88"/>
      <c r="X54" s="88"/>
    </row>
    <row r="55" spans="14:24" ht="12.75">
      <c r="N55" s="88"/>
      <c r="O55" s="88"/>
      <c r="P55" s="88"/>
      <c r="Q55" s="88"/>
      <c r="R55" s="88"/>
      <c r="S55" s="88"/>
      <c r="T55" s="88"/>
      <c r="U55" s="88"/>
      <c r="V55" s="88"/>
      <c r="W55" s="88"/>
      <c r="X55" s="88"/>
    </row>
    <row r="56" spans="14:24" ht="12.75">
      <c r="N56" s="88"/>
      <c r="O56" s="88"/>
      <c r="P56" s="88"/>
      <c r="Q56" s="88"/>
      <c r="R56" s="88"/>
      <c r="S56" s="88"/>
      <c r="T56" s="88"/>
      <c r="U56" s="88"/>
      <c r="V56" s="88"/>
      <c r="W56" s="88"/>
      <c r="X56" s="88"/>
    </row>
    <row r="57" spans="1:24" ht="18.75" thickBot="1">
      <c r="A57" s="52" t="s">
        <v>49</v>
      </c>
      <c r="B57" s="53"/>
      <c r="C57" s="54"/>
      <c r="D57" s="54"/>
      <c r="E57" s="54"/>
      <c r="F57" s="54"/>
      <c r="G57" s="54"/>
      <c r="H57" s="54"/>
      <c r="I57" s="53"/>
      <c r="J57" s="53"/>
      <c r="K57" s="53"/>
      <c r="N57" s="93"/>
      <c r="O57" s="88"/>
      <c r="P57" s="88"/>
      <c r="Q57" s="88"/>
      <c r="R57" s="88"/>
      <c r="S57" s="88"/>
      <c r="T57" s="88"/>
      <c r="U57" s="88"/>
      <c r="V57" s="88"/>
      <c r="W57" s="88"/>
      <c r="X57" s="88"/>
    </row>
    <row r="58" spans="1:24" ht="13.5" thickTop="1">
      <c r="A58" s="16" t="s">
        <v>20</v>
      </c>
      <c r="B58" s="17" t="s">
        <v>21</v>
      </c>
      <c r="C58" s="17" t="s">
        <v>22</v>
      </c>
      <c r="D58" s="17" t="s">
        <v>23</v>
      </c>
      <c r="E58" s="17" t="s">
        <v>24</v>
      </c>
      <c r="F58" s="17" t="s">
        <v>25</v>
      </c>
      <c r="G58" s="17" t="s">
        <v>26</v>
      </c>
      <c r="H58" s="17" t="s">
        <v>27</v>
      </c>
      <c r="I58" s="17" t="s">
        <v>28</v>
      </c>
      <c r="J58" s="17" t="s">
        <v>29</v>
      </c>
      <c r="K58" s="18" t="s">
        <v>30</v>
      </c>
      <c r="N58" s="88"/>
      <c r="O58" s="88"/>
      <c r="P58" s="88"/>
      <c r="Q58" s="88"/>
      <c r="R58" s="88"/>
      <c r="S58" s="88"/>
      <c r="T58" s="88"/>
      <c r="U58" s="88"/>
      <c r="V58" s="88"/>
      <c r="W58" s="88"/>
      <c r="X58" s="88"/>
    </row>
    <row r="59" spans="1:24" ht="13.5" thickBot="1">
      <c r="A59" s="19" t="s">
        <v>31</v>
      </c>
      <c r="B59" s="428"/>
      <c r="C59" s="428"/>
      <c r="D59" s="428"/>
      <c r="E59" s="428"/>
      <c r="F59" s="428"/>
      <c r="G59" s="428"/>
      <c r="H59" s="428"/>
      <c r="I59" s="428"/>
      <c r="J59" s="428"/>
      <c r="K59" s="429"/>
      <c r="N59" s="93"/>
      <c r="O59" s="88"/>
      <c r="P59" s="88"/>
      <c r="Q59" s="88"/>
      <c r="R59" s="88"/>
      <c r="S59" s="88"/>
      <c r="T59" s="88"/>
      <c r="U59" s="88"/>
      <c r="V59" s="88"/>
      <c r="W59" s="88"/>
      <c r="X59" s="88"/>
    </row>
    <row r="60" spans="2:24" ht="14.25" thickBot="1" thickTop="1">
      <c r="B60" s="430"/>
      <c r="C60" s="430"/>
      <c r="D60" s="430"/>
      <c r="E60" s="430"/>
      <c r="F60" s="430"/>
      <c r="G60" s="430"/>
      <c r="H60" s="430"/>
      <c r="I60" s="430"/>
      <c r="J60" s="430"/>
      <c r="K60" s="430"/>
      <c r="N60" s="88"/>
      <c r="O60" s="88"/>
      <c r="P60" s="88"/>
      <c r="Q60" s="88"/>
      <c r="R60" s="88"/>
      <c r="S60" s="88"/>
      <c r="T60" s="88"/>
      <c r="U60" s="88"/>
      <c r="V60" s="88"/>
      <c r="W60" s="88"/>
      <c r="X60" s="88"/>
    </row>
    <row r="61" spans="1:24" ht="13.5" thickTop="1">
      <c r="A61" s="55" t="s">
        <v>33</v>
      </c>
      <c r="B61" s="466"/>
      <c r="C61" s="466"/>
      <c r="D61" s="466"/>
      <c r="E61" s="466"/>
      <c r="F61" s="466"/>
      <c r="G61" s="466"/>
      <c r="H61" s="466"/>
      <c r="I61" s="466"/>
      <c r="J61" s="466"/>
      <c r="K61" s="467"/>
      <c r="N61" s="88"/>
      <c r="O61" s="88">
        <f aca="true" t="shared" si="32" ref="O61:X61">IF((B61)="Y",0,0)</f>
        <v>0</v>
      </c>
      <c r="P61" s="88">
        <f t="shared" si="32"/>
        <v>0</v>
      </c>
      <c r="Q61" s="88">
        <f t="shared" si="32"/>
        <v>0</v>
      </c>
      <c r="R61" s="88">
        <f t="shared" si="32"/>
        <v>0</v>
      </c>
      <c r="S61" s="88">
        <f t="shared" si="32"/>
        <v>0</v>
      </c>
      <c r="T61" s="88">
        <f t="shared" si="32"/>
        <v>0</v>
      </c>
      <c r="U61" s="88">
        <f t="shared" si="32"/>
        <v>0</v>
      </c>
      <c r="V61" s="88">
        <f t="shared" si="32"/>
        <v>0</v>
      </c>
      <c r="W61" s="88">
        <f t="shared" si="32"/>
        <v>0</v>
      </c>
      <c r="X61" s="88">
        <f t="shared" si="32"/>
        <v>0</v>
      </c>
    </row>
    <row r="62" spans="1:24" ht="12.75">
      <c r="A62" s="56" t="s">
        <v>34</v>
      </c>
      <c r="B62" s="433"/>
      <c r="C62" s="433"/>
      <c r="D62" s="433"/>
      <c r="E62" s="433"/>
      <c r="F62" s="433"/>
      <c r="G62" s="433"/>
      <c r="H62" s="433"/>
      <c r="I62" s="433"/>
      <c r="J62" s="433"/>
      <c r="K62" s="468"/>
      <c r="N62" s="88"/>
      <c r="O62" s="88">
        <f aca="true" t="shared" si="33" ref="O62:X62">IF((B62)="Y",2,0)</f>
        <v>0</v>
      </c>
      <c r="P62" s="88">
        <f t="shared" si="33"/>
        <v>0</v>
      </c>
      <c r="Q62" s="88">
        <f t="shared" si="33"/>
        <v>0</v>
      </c>
      <c r="R62" s="88">
        <f t="shared" si="33"/>
        <v>0</v>
      </c>
      <c r="S62" s="88">
        <f t="shared" si="33"/>
        <v>0</v>
      </c>
      <c r="T62" s="88">
        <f t="shared" si="33"/>
        <v>0</v>
      </c>
      <c r="U62" s="88">
        <f t="shared" si="33"/>
        <v>0</v>
      </c>
      <c r="V62" s="88">
        <f t="shared" si="33"/>
        <v>0</v>
      </c>
      <c r="W62" s="88">
        <f t="shared" si="33"/>
        <v>0</v>
      </c>
      <c r="X62" s="88">
        <f t="shared" si="33"/>
        <v>0</v>
      </c>
    </row>
    <row r="63" spans="1:24" ht="12.75">
      <c r="A63" s="57" t="s">
        <v>35</v>
      </c>
      <c r="B63" s="435"/>
      <c r="C63" s="435"/>
      <c r="D63" s="435"/>
      <c r="E63" s="435"/>
      <c r="F63" s="435"/>
      <c r="G63" s="435"/>
      <c r="H63" s="435"/>
      <c r="I63" s="435"/>
      <c r="J63" s="435"/>
      <c r="K63" s="469"/>
      <c r="N63" s="88"/>
      <c r="O63" s="88">
        <f aca="true" t="shared" si="34" ref="O63:X63">IF((B63)="Y",1,0)</f>
        <v>0</v>
      </c>
      <c r="P63" s="88">
        <f t="shared" si="34"/>
        <v>0</v>
      </c>
      <c r="Q63" s="88">
        <f t="shared" si="34"/>
        <v>0</v>
      </c>
      <c r="R63" s="88">
        <f t="shared" si="34"/>
        <v>0</v>
      </c>
      <c r="S63" s="88">
        <f t="shared" si="34"/>
        <v>0</v>
      </c>
      <c r="T63" s="88">
        <f t="shared" si="34"/>
        <v>0</v>
      </c>
      <c r="U63" s="88">
        <f t="shared" si="34"/>
        <v>0</v>
      </c>
      <c r="V63" s="88">
        <f t="shared" si="34"/>
        <v>0</v>
      </c>
      <c r="W63" s="88">
        <f t="shared" si="34"/>
        <v>0</v>
      </c>
      <c r="X63" s="88">
        <f t="shared" si="34"/>
        <v>0</v>
      </c>
    </row>
    <row r="64" spans="1:24" ht="12.75">
      <c r="A64" s="58" t="s">
        <v>36</v>
      </c>
      <c r="B64" s="437"/>
      <c r="C64" s="437"/>
      <c r="D64" s="437"/>
      <c r="E64" s="437"/>
      <c r="F64" s="437"/>
      <c r="G64" s="437"/>
      <c r="H64" s="437"/>
      <c r="I64" s="437"/>
      <c r="J64" s="437"/>
      <c r="K64" s="470"/>
      <c r="N64" s="88"/>
      <c r="O64" s="88">
        <f aca="true" t="shared" si="35" ref="O64:X64">IF((B64)="Y",2,0)</f>
        <v>0</v>
      </c>
      <c r="P64" s="88">
        <f t="shared" si="35"/>
        <v>0</v>
      </c>
      <c r="Q64" s="88">
        <f t="shared" si="35"/>
        <v>0</v>
      </c>
      <c r="R64" s="88">
        <f t="shared" si="35"/>
        <v>0</v>
      </c>
      <c r="S64" s="88">
        <f t="shared" si="35"/>
        <v>0</v>
      </c>
      <c r="T64" s="88">
        <f t="shared" si="35"/>
        <v>0</v>
      </c>
      <c r="U64" s="88">
        <f t="shared" si="35"/>
        <v>0</v>
      </c>
      <c r="V64" s="88">
        <f t="shared" si="35"/>
        <v>0</v>
      </c>
      <c r="W64" s="88">
        <f t="shared" si="35"/>
        <v>0</v>
      </c>
      <c r="X64" s="88">
        <f t="shared" si="35"/>
        <v>0</v>
      </c>
    </row>
    <row r="65" spans="1:24" ht="13.5" thickBot="1">
      <c r="A65" s="59" t="s">
        <v>40</v>
      </c>
      <c r="B65" s="471"/>
      <c r="C65" s="471"/>
      <c r="D65" s="471"/>
      <c r="E65" s="471"/>
      <c r="F65" s="471"/>
      <c r="G65" s="471"/>
      <c r="H65" s="471"/>
      <c r="I65" s="471"/>
      <c r="J65" s="471"/>
      <c r="K65" s="472"/>
      <c r="N65" s="88"/>
      <c r="O65" s="88">
        <f aca="true" t="shared" si="36" ref="O65:X65">IF((B65)="Y",1,0)</f>
        <v>0</v>
      </c>
      <c r="P65" s="88">
        <f t="shared" si="36"/>
        <v>0</v>
      </c>
      <c r="Q65" s="88">
        <f t="shared" si="36"/>
        <v>0</v>
      </c>
      <c r="R65" s="88">
        <f t="shared" si="36"/>
        <v>0</v>
      </c>
      <c r="S65" s="88">
        <f t="shared" si="36"/>
        <v>0</v>
      </c>
      <c r="T65" s="88">
        <f t="shared" si="36"/>
        <v>0</v>
      </c>
      <c r="U65" s="88">
        <f t="shared" si="36"/>
        <v>0</v>
      </c>
      <c r="V65" s="88">
        <f t="shared" si="36"/>
        <v>0</v>
      </c>
      <c r="W65" s="88">
        <f t="shared" si="36"/>
        <v>0</v>
      </c>
      <c r="X65" s="88">
        <f t="shared" si="36"/>
        <v>0</v>
      </c>
    </row>
    <row r="66" spans="1:24" ht="14.25" thickBot="1" thickTop="1">
      <c r="A66" s="1"/>
      <c r="B66" s="447"/>
      <c r="C66" s="447"/>
      <c r="D66" s="447"/>
      <c r="E66" s="447"/>
      <c r="F66" s="447"/>
      <c r="G66" s="447"/>
      <c r="H66" s="447"/>
      <c r="I66" s="447"/>
      <c r="J66" s="447"/>
      <c r="K66" s="447"/>
      <c r="N66" s="89" t="s">
        <v>41</v>
      </c>
      <c r="O66" s="90">
        <f aca="true" t="shared" si="37" ref="O66:X66">SUM(O61:O65)</f>
        <v>0</v>
      </c>
      <c r="P66" s="90">
        <f t="shared" si="37"/>
        <v>0</v>
      </c>
      <c r="Q66" s="90">
        <f t="shared" si="37"/>
        <v>0</v>
      </c>
      <c r="R66" s="90">
        <f t="shared" si="37"/>
        <v>0</v>
      </c>
      <c r="S66" s="90">
        <f t="shared" si="37"/>
        <v>0</v>
      </c>
      <c r="T66" s="90">
        <f t="shared" si="37"/>
        <v>0</v>
      </c>
      <c r="U66" s="90">
        <f t="shared" si="37"/>
        <v>0</v>
      </c>
      <c r="V66" s="90">
        <f t="shared" si="37"/>
        <v>0</v>
      </c>
      <c r="W66" s="90">
        <f t="shared" si="37"/>
        <v>0</v>
      </c>
      <c r="X66" s="90">
        <f t="shared" si="37"/>
        <v>0</v>
      </c>
    </row>
    <row r="67" spans="1:24" ht="13.5" thickTop="1">
      <c r="A67" s="60" t="s">
        <v>42</v>
      </c>
      <c r="B67" s="448"/>
      <c r="C67" s="448"/>
      <c r="D67" s="448"/>
      <c r="E67" s="448"/>
      <c r="F67" s="448"/>
      <c r="G67" s="448"/>
      <c r="H67" s="448"/>
      <c r="I67" s="448"/>
      <c r="J67" s="448"/>
      <c r="K67" s="449"/>
      <c r="N67" s="88"/>
      <c r="O67" s="91">
        <f>IF((B67)="Y",(O66+3)*5,0)</f>
        <v>0</v>
      </c>
      <c r="P67" s="91">
        <f aca="true" t="shared" si="38" ref="P67:X67">IF((C67)="Y",(P66+3)*5,0)</f>
        <v>0</v>
      </c>
      <c r="Q67" s="91">
        <f t="shared" si="38"/>
        <v>0</v>
      </c>
      <c r="R67" s="91">
        <f t="shared" si="38"/>
        <v>0</v>
      </c>
      <c r="S67" s="91">
        <f t="shared" si="38"/>
        <v>0</v>
      </c>
      <c r="T67" s="91">
        <f t="shared" si="38"/>
        <v>0</v>
      </c>
      <c r="U67" s="91">
        <f t="shared" si="38"/>
        <v>0</v>
      </c>
      <c r="V67" s="91">
        <f t="shared" si="38"/>
        <v>0</v>
      </c>
      <c r="W67" s="91">
        <f t="shared" si="38"/>
        <v>0</v>
      </c>
      <c r="X67" s="91">
        <f t="shared" si="38"/>
        <v>0</v>
      </c>
    </row>
    <row r="68" spans="1:24" ht="13.5" thickBot="1">
      <c r="A68" s="562" t="s">
        <v>43</v>
      </c>
      <c r="B68" s="558"/>
      <c r="C68" s="558"/>
      <c r="D68" s="558"/>
      <c r="E68" s="558"/>
      <c r="F68" s="558"/>
      <c r="G68" s="558"/>
      <c r="H68" s="558"/>
      <c r="I68" s="558"/>
      <c r="J68" s="558"/>
      <c r="K68" s="559"/>
      <c r="N68" s="88"/>
      <c r="O68" s="91">
        <f>IF((B68)="Y",(O66+3)*50,0)</f>
        <v>0</v>
      </c>
      <c r="P68" s="91">
        <f aca="true" t="shared" si="39" ref="P68:X68">IF((C68)="Y",(P66+3)*50,0)</f>
        <v>0</v>
      </c>
      <c r="Q68" s="91">
        <f t="shared" si="39"/>
        <v>0</v>
      </c>
      <c r="R68" s="91">
        <f t="shared" si="39"/>
        <v>0</v>
      </c>
      <c r="S68" s="91">
        <f t="shared" si="39"/>
        <v>0</v>
      </c>
      <c r="T68" s="91">
        <f t="shared" si="39"/>
        <v>0</v>
      </c>
      <c r="U68" s="91">
        <f t="shared" si="39"/>
        <v>0</v>
      </c>
      <c r="V68" s="91">
        <f t="shared" si="39"/>
        <v>0</v>
      </c>
      <c r="W68" s="91">
        <f t="shared" si="39"/>
        <v>0</v>
      </c>
      <c r="X68" s="91">
        <f t="shared" si="39"/>
        <v>0</v>
      </c>
    </row>
    <row r="69" spans="2:24" ht="13.5" thickTop="1">
      <c r="B69" s="2"/>
      <c r="C69" s="2"/>
      <c r="D69" s="2"/>
      <c r="E69" s="2"/>
      <c r="F69" s="2"/>
      <c r="G69" s="2"/>
      <c r="H69" s="2"/>
      <c r="I69" s="2"/>
      <c r="J69" s="2"/>
      <c r="K69" s="2"/>
      <c r="N69" s="89" t="s">
        <v>45</v>
      </c>
      <c r="O69" s="92">
        <f aca="true" t="shared" si="40" ref="O69:X69">SUM(O67:O68)</f>
        <v>0</v>
      </c>
      <c r="P69" s="92">
        <f t="shared" si="40"/>
        <v>0</v>
      </c>
      <c r="Q69" s="92">
        <f t="shared" si="40"/>
        <v>0</v>
      </c>
      <c r="R69" s="92">
        <f t="shared" si="40"/>
        <v>0</v>
      </c>
      <c r="S69" s="92">
        <f t="shared" si="40"/>
        <v>0</v>
      </c>
      <c r="T69" s="92">
        <f t="shared" si="40"/>
        <v>0</v>
      </c>
      <c r="U69" s="92">
        <f t="shared" si="40"/>
        <v>0</v>
      </c>
      <c r="V69" s="92">
        <f t="shared" si="40"/>
        <v>0</v>
      </c>
      <c r="W69" s="92">
        <f t="shared" si="40"/>
        <v>0</v>
      </c>
      <c r="X69" s="92">
        <f t="shared" si="40"/>
        <v>0</v>
      </c>
    </row>
    <row r="70" spans="1:24" ht="12.75">
      <c r="A70" s="61" t="s">
        <v>46</v>
      </c>
      <c r="B70" s="244">
        <f aca="true" t="shared" si="41" ref="B70:K70">+(O69)*(B59)</f>
        <v>0</v>
      </c>
      <c r="C70" s="244">
        <f t="shared" si="41"/>
        <v>0</v>
      </c>
      <c r="D70" s="244">
        <f t="shared" si="41"/>
        <v>0</v>
      </c>
      <c r="E70" s="244">
        <f t="shared" si="41"/>
        <v>0</v>
      </c>
      <c r="F70" s="244">
        <f t="shared" si="41"/>
        <v>0</v>
      </c>
      <c r="G70" s="244">
        <f t="shared" si="41"/>
        <v>0</v>
      </c>
      <c r="H70" s="244">
        <f t="shared" si="41"/>
        <v>0</v>
      </c>
      <c r="I70" s="244">
        <f t="shared" si="41"/>
        <v>0</v>
      </c>
      <c r="J70" s="244">
        <f t="shared" si="41"/>
        <v>0</v>
      </c>
      <c r="K70" s="244">
        <f t="shared" si="41"/>
        <v>0</v>
      </c>
      <c r="N70" s="88"/>
      <c r="O70" s="88"/>
      <c r="P70" s="88"/>
      <c r="Q70" s="88"/>
      <c r="R70" s="88"/>
      <c r="S70" s="88"/>
      <c r="T70" s="88"/>
      <c r="U70" s="88"/>
      <c r="V70" s="88"/>
      <c r="W70" s="88"/>
      <c r="X70" s="88"/>
    </row>
    <row r="71" spans="1:24" ht="12.75">
      <c r="A71" s="3" t="s">
        <v>47</v>
      </c>
      <c r="B71" s="5">
        <f aca="true" t="shared" si="42" ref="B71:K71">+IF(B68="Y",B70*$P$4,0)</f>
        <v>0</v>
      </c>
      <c r="C71" s="5">
        <f t="shared" si="42"/>
        <v>0</v>
      </c>
      <c r="D71" s="5">
        <f t="shared" si="42"/>
        <v>0</v>
      </c>
      <c r="E71" s="5">
        <f t="shared" si="42"/>
        <v>0</v>
      </c>
      <c r="F71" s="5">
        <f t="shared" si="42"/>
        <v>0</v>
      </c>
      <c r="G71" s="5">
        <f t="shared" si="42"/>
        <v>0</v>
      </c>
      <c r="H71" s="5">
        <f t="shared" si="42"/>
        <v>0</v>
      </c>
      <c r="I71" s="5">
        <f t="shared" si="42"/>
        <v>0</v>
      </c>
      <c r="J71" s="5">
        <f t="shared" si="42"/>
        <v>0</v>
      </c>
      <c r="K71" s="5">
        <f t="shared" si="42"/>
        <v>0</v>
      </c>
      <c r="N71" s="88"/>
      <c r="O71" s="88"/>
      <c r="P71" s="88"/>
      <c r="Q71" s="88"/>
      <c r="R71" s="88"/>
      <c r="S71" s="88"/>
      <c r="T71" s="88"/>
      <c r="U71" s="88"/>
      <c r="V71" s="88"/>
      <c r="W71" s="88"/>
      <c r="X71" s="88"/>
    </row>
    <row r="72" spans="14:24" ht="12.75">
      <c r="N72" s="88"/>
      <c r="O72" s="88"/>
      <c r="P72" s="88"/>
      <c r="Q72" s="88"/>
      <c r="R72" s="88"/>
      <c r="S72" s="88"/>
      <c r="T72" s="88"/>
      <c r="U72" s="88"/>
      <c r="V72" s="88"/>
      <c r="W72" s="88"/>
      <c r="X72" s="88"/>
    </row>
    <row r="73" spans="14:24" ht="12.75">
      <c r="N73" s="88"/>
      <c r="O73" s="88"/>
      <c r="P73" s="88"/>
      <c r="Q73" s="88"/>
      <c r="R73" s="88"/>
      <c r="S73" s="88"/>
      <c r="T73" s="88"/>
      <c r="U73" s="88"/>
      <c r="V73" s="88"/>
      <c r="W73" s="88"/>
      <c r="X73" s="88"/>
    </row>
    <row r="74" spans="1:24" ht="18.75" thickBot="1">
      <c r="A74" s="44" t="s">
        <v>50</v>
      </c>
      <c r="B74" s="22"/>
      <c r="C74" s="21"/>
      <c r="D74" s="21"/>
      <c r="E74" s="21"/>
      <c r="F74" s="21"/>
      <c r="G74" s="21"/>
      <c r="H74" s="21"/>
      <c r="I74" s="22"/>
      <c r="J74" s="22"/>
      <c r="K74" s="22"/>
      <c r="N74" s="93"/>
      <c r="O74" s="88"/>
      <c r="P74" s="88"/>
      <c r="Q74" s="88"/>
      <c r="R74" s="88"/>
      <c r="S74" s="88"/>
      <c r="T74" s="88"/>
      <c r="U74" s="88"/>
      <c r="V74" s="88"/>
      <c r="W74" s="88"/>
      <c r="X74" s="88"/>
    </row>
    <row r="75" spans="1:24" ht="13.5" thickTop="1">
      <c r="A75" s="16" t="s">
        <v>20</v>
      </c>
      <c r="B75" s="17" t="s">
        <v>21</v>
      </c>
      <c r="C75" s="17" t="s">
        <v>22</v>
      </c>
      <c r="D75" s="17" t="s">
        <v>23</v>
      </c>
      <c r="E75" s="17" t="s">
        <v>24</v>
      </c>
      <c r="F75" s="17" t="s">
        <v>25</v>
      </c>
      <c r="G75" s="17" t="s">
        <v>26</v>
      </c>
      <c r="H75" s="17" t="s">
        <v>27</v>
      </c>
      <c r="I75" s="17" t="s">
        <v>28</v>
      </c>
      <c r="J75" s="17" t="s">
        <v>29</v>
      </c>
      <c r="K75" s="18" t="s">
        <v>30</v>
      </c>
      <c r="N75" s="88"/>
      <c r="O75" s="88"/>
      <c r="P75" s="88"/>
      <c r="Q75" s="88"/>
      <c r="R75" s="88"/>
      <c r="S75" s="88"/>
      <c r="T75" s="88"/>
      <c r="U75" s="88"/>
      <c r="V75" s="88"/>
      <c r="W75" s="88"/>
      <c r="X75" s="88"/>
    </row>
    <row r="76" spans="1:24" ht="13.5" thickBot="1">
      <c r="A76" s="19" t="s">
        <v>31</v>
      </c>
      <c r="B76" s="428"/>
      <c r="C76" s="428"/>
      <c r="D76" s="428"/>
      <c r="E76" s="428"/>
      <c r="F76" s="428"/>
      <c r="G76" s="428"/>
      <c r="H76" s="428"/>
      <c r="I76" s="428"/>
      <c r="J76" s="428"/>
      <c r="K76" s="429"/>
      <c r="N76" s="93"/>
      <c r="O76" s="88"/>
      <c r="P76" s="88"/>
      <c r="Q76" s="88"/>
      <c r="R76" s="88"/>
      <c r="S76" s="88"/>
      <c r="T76" s="88"/>
      <c r="U76" s="88"/>
      <c r="V76" s="88"/>
      <c r="W76" s="88"/>
      <c r="X76" s="88"/>
    </row>
    <row r="77" spans="2:24" ht="14.25" thickBot="1" thickTop="1">
      <c r="B77" s="430"/>
      <c r="C77" s="430"/>
      <c r="D77" s="430"/>
      <c r="E77" s="430"/>
      <c r="F77" s="430"/>
      <c r="G77" s="430"/>
      <c r="H77" s="430"/>
      <c r="I77" s="430"/>
      <c r="J77" s="430"/>
      <c r="K77" s="430"/>
      <c r="N77" s="88"/>
      <c r="O77" s="88"/>
      <c r="P77" s="88"/>
      <c r="Q77" s="88"/>
      <c r="R77" s="88"/>
      <c r="S77" s="88"/>
      <c r="T77" s="88"/>
      <c r="U77" s="88"/>
      <c r="V77" s="88"/>
      <c r="W77" s="88"/>
      <c r="X77" s="88"/>
    </row>
    <row r="78" spans="1:24" ht="13.5" thickTop="1">
      <c r="A78" s="45" t="s">
        <v>33</v>
      </c>
      <c r="B78" s="473"/>
      <c r="C78" s="473"/>
      <c r="D78" s="473"/>
      <c r="E78" s="473"/>
      <c r="F78" s="473"/>
      <c r="G78" s="473"/>
      <c r="H78" s="473"/>
      <c r="I78" s="473"/>
      <c r="J78" s="473"/>
      <c r="K78" s="474"/>
      <c r="N78" s="88"/>
      <c r="O78" s="88">
        <f aca="true" t="shared" si="43" ref="O78:X78">IF((B78)="Y",0,0)</f>
        <v>0</v>
      </c>
      <c r="P78" s="88">
        <f t="shared" si="43"/>
        <v>0</v>
      </c>
      <c r="Q78" s="88">
        <f t="shared" si="43"/>
        <v>0</v>
      </c>
      <c r="R78" s="88">
        <f t="shared" si="43"/>
        <v>0</v>
      </c>
      <c r="S78" s="88">
        <f t="shared" si="43"/>
        <v>0</v>
      </c>
      <c r="T78" s="88">
        <f t="shared" si="43"/>
        <v>0</v>
      </c>
      <c r="U78" s="88">
        <f t="shared" si="43"/>
        <v>0</v>
      </c>
      <c r="V78" s="88">
        <f t="shared" si="43"/>
        <v>0</v>
      </c>
      <c r="W78" s="88">
        <f t="shared" si="43"/>
        <v>0</v>
      </c>
      <c r="X78" s="88">
        <f t="shared" si="43"/>
        <v>0</v>
      </c>
    </row>
    <row r="79" spans="1:24" ht="12.75">
      <c r="A79" s="46" t="s">
        <v>34</v>
      </c>
      <c r="B79" s="433"/>
      <c r="C79" s="433"/>
      <c r="D79" s="433"/>
      <c r="E79" s="433"/>
      <c r="F79" s="433"/>
      <c r="G79" s="433"/>
      <c r="H79" s="433"/>
      <c r="I79" s="433"/>
      <c r="J79" s="433"/>
      <c r="K79" s="475"/>
      <c r="N79" s="88"/>
      <c r="O79" s="88">
        <f aca="true" t="shared" si="44" ref="O79:X79">IF((B79)="Y",2,0)</f>
        <v>0</v>
      </c>
      <c r="P79" s="88">
        <f t="shared" si="44"/>
        <v>0</v>
      </c>
      <c r="Q79" s="88">
        <f t="shared" si="44"/>
        <v>0</v>
      </c>
      <c r="R79" s="88">
        <f t="shared" si="44"/>
        <v>0</v>
      </c>
      <c r="S79" s="88">
        <f t="shared" si="44"/>
        <v>0</v>
      </c>
      <c r="T79" s="88">
        <f t="shared" si="44"/>
        <v>0</v>
      </c>
      <c r="U79" s="88">
        <f t="shared" si="44"/>
        <v>0</v>
      </c>
      <c r="V79" s="88">
        <f t="shared" si="44"/>
        <v>0</v>
      </c>
      <c r="W79" s="88">
        <f t="shared" si="44"/>
        <v>0</v>
      </c>
      <c r="X79" s="88">
        <f t="shared" si="44"/>
        <v>0</v>
      </c>
    </row>
    <row r="80" spans="1:24" ht="12.75">
      <c r="A80" s="47" t="s">
        <v>35</v>
      </c>
      <c r="B80" s="435"/>
      <c r="C80" s="435"/>
      <c r="D80" s="435"/>
      <c r="E80" s="435"/>
      <c r="F80" s="435"/>
      <c r="G80" s="435"/>
      <c r="H80" s="435"/>
      <c r="I80" s="435"/>
      <c r="J80" s="435"/>
      <c r="K80" s="476"/>
      <c r="N80" s="88"/>
      <c r="O80" s="88">
        <f aca="true" t="shared" si="45" ref="O80:X80">IF((B80)="Y",1,0)</f>
        <v>0</v>
      </c>
      <c r="P80" s="88">
        <f t="shared" si="45"/>
        <v>0</v>
      </c>
      <c r="Q80" s="88">
        <f t="shared" si="45"/>
        <v>0</v>
      </c>
      <c r="R80" s="88">
        <f t="shared" si="45"/>
        <v>0</v>
      </c>
      <c r="S80" s="88">
        <f t="shared" si="45"/>
        <v>0</v>
      </c>
      <c r="T80" s="88">
        <f t="shared" si="45"/>
        <v>0</v>
      </c>
      <c r="U80" s="88">
        <f t="shared" si="45"/>
        <v>0</v>
      </c>
      <c r="V80" s="88">
        <f t="shared" si="45"/>
        <v>0</v>
      </c>
      <c r="W80" s="88">
        <f t="shared" si="45"/>
        <v>0</v>
      </c>
      <c r="X80" s="88">
        <f t="shared" si="45"/>
        <v>0</v>
      </c>
    </row>
    <row r="81" spans="1:24" ht="12.75">
      <c r="A81" s="48" t="s">
        <v>36</v>
      </c>
      <c r="B81" s="437"/>
      <c r="C81" s="437"/>
      <c r="D81" s="437"/>
      <c r="E81" s="437"/>
      <c r="F81" s="437"/>
      <c r="G81" s="437"/>
      <c r="H81" s="437"/>
      <c r="I81" s="437"/>
      <c r="J81" s="437"/>
      <c r="K81" s="477"/>
      <c r="N81" s="88"/>
      <c r="O81" s="88">
        <f aca="true" t="shared" si="46" ref="O81:X81">IF((B81)="Y",2,0)</f>
        <v>0</v>
      </c>
      <c r="P81" s="88">
        <f t="shared" si="46"/>
        <v>0</v>
      </c>
      <c r="Q81" s="88">
        <f t="shared" si="46"/>
        <v>0</v>
      </c>
      <c r="R81" s="88">
        <f t="shared" si="46"/>
        <v>0</v>
      </c>
      <c r="S81" s="88">
        <f t="shared" si="46"/>
        <v>0</v>
      </c>
      <c r="T81" s="88">
        <f t="shared" si="46"/>
        <v>0</v>
      </c>
      <c r="U81" s="88">
        <f t="shared" si="46"/>
        <v>0</v>
      </c>
      <c r="V81" s="88">
        <f t="shared" si="46"/>
        <v>0</v>
      </c>
      <c r="W81" s="88">
        <f t="shared" si="46"/>
        <v>0</v>
      </c>
      <c r="X81" s="88">
        <f t="shared" si="46"/>
        <v>0</v>
      </c>
    </row>
    <row r="82" spans="1:24" ht="13.5" thickBot="1">
      <c r="A82" s="49" t="s">
        <v>40</v>
      </c>
      <c r="B82" s="478"/>
      <c r="C82" s="478"/>
      <c r="D82" s="478"/>
      <c r="E82" s="478"/>
      <c r="F82" s="478"/>
      <c r="G82" s="478"/>
      <c r="H82" s="478"/>
      <c r="I82" s="478"/>
      <c r="J82" s="478"/>
      <c r="K82" s="479"/>
      <c r="N82" s="88"/>
      <c r="O82" s="88">
        <f aca="true" t="shared" si="47" ref="O82:X82">IF((B82)="Y",1,0)</f>
        <v>0</v>
      </c>
      <c r="P82" s="88">
        <f t="shared" si="47"/>
        <v>0</v>
      </c>
      <c r="Q82" s="88">
        <f t="shared" si="47"/>
        <v>0</v>
      </c>
      <c r="R82" s="88">
        <f t="shared" si="47"/>
        <v>0</v>
      </c>
      <c r="S82" s="88">
        <f t="shared" si="47"/>
        <v>0</v>
      </c>
      <c r="T82" s="88">
        <f t="shared" si="47"/>
        <v>0</v>
      </c>
      <c r="U82" s="88">
        <f t="shared" si="47"/>
        <v>0</v>
      </c>
      <c r="V82" s="88">
        <f t="shared" si="47"/>
        <v>0</v>
      </c>
      <c r="W82" s="88">
        <f t="shared" si="47"/>
        <v>0</v>
      </c>
      <c r="X82" s="88">
        <f t="shared" si="47"/>
        <v>0</v>
      </c>
    </row>
    <row r="83" spans="1:24" ht="14.25" thickBot="1" thickTop="1">
      <c r="A83" s="1"/>
      <c r="B83" s="447"/>
      <c r="C83" s="447"/>
      <c r="D83" s="447"/>
      <c r="E83" s="447"/>
      <c r="F83" s="447"/>
      <c r="G83" s="447"/>
      <c r="H83" s="447"/>
      <c r="I83" s="447"/>
      <c r="J83" s="447"/>
      <c r="K83" s="447"/>
      <c r="N83" s="89" t="s">
        <v>41</v>
      </c>
      <c r="O83" s="90">
        <f aca="true" t="shared" si="48" ref="O83:X83">SUM(O78:O82)</f>
        <v>0</v>
      </c>
      <c r="P83" s="90">
        <f t="shared" si="48"/>
        <v>0</v>
      </c>
      <c r="Q83" s="90">
        <f t="shared" si="48"/>
        <v>0</v>
      </c>
      <c r="R83" s="90">
        <f t="shared" si="48"/>
        <v>0</v>
      </c>
      <c r="S83" s="90">
        <f t="shared" si="48"/>
        <v>0</v>
      </c>
      <c r="T83" s="90">
        <f t="shared" si="48"/>
        <v>0</v>
      </c>
      <c r="U83" s="90">
        <f t="shared" si="48"/>
        <v>0</v>
      </c>
      <c r="V83" s="90">
        <f t="shared" si="48"/>
        <v>0</v>
      </c>
      <c r="W83" s="90">
        <f t="shared" si="48"/>
        <v>0</v>
      </c>
      <c r="X83" s="90">
        <f t="shared" si="48"/>
        <v>0</v>
      </c>
    </row>
    <row r="84" spans="1:24" ht="13.5" thickTop="1">
      <c r="A84" s="31" t="s">
        <v>42</v>
      </c>
      <c r="B84" s="448"/>
      <c r="C84" s="448"/>
      <c r="D84" s="448"/>
      <c r="E84" s="448"/>
      <c r="F84" s="448"/>
      <c r="G84" s="448"/>
      <c r="H84" s="448"/>
      <c r="I84" s="448"/>
      <c r="J84" s="448"/>
      <c r="K84" s="449"/>
      <c r="N84" s="88"/>
      <c r="O84" s="91">
        <f>IF((B84)="Y",(O83+2)*5,0)</f>
        <v>0</v>
      </c>
      <c r="P84" s="91">
        <f aca="true" t="shared" si="49" ref="P84:X84">IF((C84)="Y",(P83+2)*5,0)</f>
        <v>0</v>
      </c>
      <c r="Q84" s="91">
        <f t="shared" si="49"/>
        <v>0</v>
      </c>
      <c r="R84" s="91">
        <f t="shared" si="49"/>
        <v>0</v>
      </c>
      <c r="S84" s="91">
        <f t="shared" si="49"/>
        <v>0</v>
      </c>
      <c r="T84" s="91">
        <f t="shared" si="49"/>
        <v>0</v>
      </c>
      <c r="U84" s="91">
        <f t="shared" si="49"/>
        <v>0</v>
      </c>
      <c r="V84" s="91">
        <f t="shared" si="49"/>
        <v>0</v>
      </c>
      <c r="W84" s="91">
        <f t="shared" si="49"/>
        <v>0</v>
      </c>
      <c r="X84" s="91">
        <f t="shared" si="49"/>
        <v>0</v>
      </c>
    </row>
    <row r="85" spans="1:24" ht="13.5" thickBot="1">
      <c r="A85" s="560" t="s">
        <v>43</v>
      </c>
      <c r="B85" s="558"/>
      <c r="C85" s="558"/>
      <c r="D85" s="558"/>
      <c r="E85" s="558"/>
      <c r="F85" s="558"/>
      <c r="G85" s="558"/>
      <c r="H85" s="558"/>
      <c r="I85" s="558"/>
      <c r="J85" s="558"/>
      <c r="K85" s="561"/>
      <c r="N85" s="88"/>
      <c r="O85" s="91">
        <f>IF((B85)="Y",(O83+2)*50,0)</f>
        <v>0</v>
      </c>
      <c r="P85" s="91">
        <f aca="true" t="shared" si="50" ref="P85:X85">IF((C85)="Y",(P83+2)*50,0)</f>
        <v>0</v>
      </c>
      <c r="Q85" s="91">
        <f t="shared" si="50"/>
        <v>0</v>
      </c>
      <c r="R85" s="91">
        <f t="shared" si="50"/>
        <v>0</v>
      </c>
      <c r="S85" s="91">
        <f t="shared" si="50"/>
        <v>0</v>
      </c>
      <c r="T85" s="91">
        <f t="shared" si="50"/>
        <v>0</v>
      </c>
      <c r="U85" s="91">
        <f t="shared" si="50"/>
        <v>0</v>
      </c>
      <c r="V85" s="91">
        <f t="shared" si="50"/>
        <v>0</v>
      </c>
      <c r="W85" s="91">
        <f t="shared" si="50"/>
        <v>0</v>
      </c>
      <c r="X85" s="91">
        <f t="shared" si="50"/>
        <v>0</v>
      </c>
    </row>
    <row r="86" spans="2:24" ht="13.5" thickTop="1">
      <c r="B86" s="2"/>
      <c r="C86" s="2"/>
      <c r="D86" s="2"/>
      <c r="E86" s="2"/>
      <c r="F86" s="2"/>
      <c r="G86" s="2"/>
      <c r="H86" s="2"/>
      <c r="I86" s="2"/>
      <c r="J86" s="2"/>
      <c r="K86" s="2"/>
      <c r="N86" s="89" t="s">
        <v>45</v>
      </c>
      <c r="O86" s="92">
        <f aca="true" t="shared" si="51" ref="O86:X86">SUM(O84:O85)</f>
        <v>0</v>
      </c>
      <c r="P86" s="92">
        <f t="shared" si="51"/>
        <v>0</v>
      </c>
      <c r="Q86" s="92">
        <f t="shared" si="51"/>
        <v>0</v>
      </c>
      <c r="R86" s="92">
        <f t="shared" si="51"/>
        <v>0</v>
      </c>
      <c r="S86" s="92">
        <f t="shared" si="51"/>
        <v>0</v>
      </c>
      <c r="T86" s="92">
        <f t="shared" si="51"/>
        <v>0</v>
      </c>
      <c r="U86" s="92">
        <f t="shared" si="51"/>
        <v>0</v>
      </c>
      <c r="V86" s="92">
        <f t="shared" si="51"/>
        <v>0</v>
      </c>
      <c r="W86" s="92">
        <f t="shared" si="51"/>
        <v>0</v>
      </c>
      <c r="X86" s="92">
        <f t="shared" si="51"/>
        <v>0</v>
      </c>
    </row>
    <row r="87" spans="1:24" ht="12.75">
      <c r="A87" s="51" t="s">
        <v>46</v>
      </c>
      <c r="B87" s="245">
        <f aca="true" t="shared" si="52" ref="B87:K87">+(O86)*(B76)</f>
        <v>0</v>
      </c>
      <c r="C87" s="245">
        <f t="shared" si="52"/>
        <v>0</v>
      </c>
      <c r="D87" s="245">
        <f t="shared" si="52"/>
        <v>0</v>
      </c>
      <c r="E87" s="245">
        <f t="shared" si="52"/>
        <v>0</v>
      </c>
      <c r="F87" s="245">
        <f t="shared" si="52"/>
        <v>0</v>
      </c>
      <c r="G87" s="245">
        <f t="shared" si="52"/>
        <v>0</v>
      </c>
      <c r="H87" s="245">
        <f t="shared" si="52"/>
        <v>0</v>
      </c>
      <c r="I87" s="245">
        <f t="shared" si="52"/>
        <v>0</v>
      </c>
      <c r="J87" s="245">
        <f t="shared" si="52"/>
        <v>0</v>
      </c>
      <c r="K87" s="245">
        <f t="shared" si="52"/>
        <v>0</v>
      </c>
      <c r="N87" s="88"/>
      <c r="O87" s="88"/>
      <c r="P87" s="88"/>
      <c r="Q87" s="88"/>
      <c r="R87" s="88"/>
      <c r="S87" s="88"/>
      <c r="T87" s="88"/>
      <c r="U87" s="88"/>
      <c r="V87" s="88"/>
      <c r="W87" s="88"/>
      <c r="X87" s="88"/>
    </row>
    <row r="88" spans="1:24" ht="12.75">
      <c r="A88" s="3" t="s">
        <v>47</v>
      </c>
      <c r="B88" s="5">
        <f aca="true" t="shared" si="53" ref="B88:K88">+IF(B85="Y",B87*$P$4,0)</f>
        <v>0</v>
      </c>
      <c r="C88" s="5">
        <f t="shared" si="53"/>
        <v>0</v>
      </c>
      <c r="D88" s="5">
        <f t="shared" si="53"/>
        <v>0</v>
      </c>
      <c r="E88" s="5">
        <f t="shared" si="53"/>
        <v>0</v>
      </c>
      <c r="F88" s="5">
        <f t="shared" si="53"/>
        <v>0</v>
      </c>
      <c r="G88" s="5">
        <f t="shared" si="53"/>
        <v>0</v>
      </c>
      <c r="H88" s="5">
        <f t="shared" si="53"/>
        <v>0</v>
      </c>
      <c r="I88" s="5">
        <f t="shared" si="53"/>
        <v>0</v>
      </c>
      <c r="J88" s="5">
        <f t="shared" si="53"/>
        <v>0</v>
      </c>
      <c r="K88" s="5">
        <f t="shared" si="53"/>
        <v>0</v>
      </c>
      <c r="N88" s="88"/>
      <c r="O88" s="88"/>
      <c r="P88" s="88"/>
      <c r="Q88" s="88"/>
      <c r="R88" s="88"/>
      <c r="S88" s="88"/>
      <c r="T88" s="88"/>
      <c r="U88" s="88"/>
      <c r="V88" s="88"/>
      <c r="W88" s="88"/>
      <c r="X88" s="88"/>
    </row>
    <row r="89" spans="14:24" ht="12.75">
      <c r="N89" s="88"/>
      <c r="O89" s="88"/>
      <c r="P89" s="88"/>
      <c r="Q89" s="88"/>
      <c r="R89" s="88"/>
      <c r="S89" s="88"/>
      <c r="T89" s="88"/>
      <c r="U89" s="88"/>
      <c r="V89" s="88"/>
      <c r="W89" s="88"/>
      <c r="X89" s="88"/>
    </row>
    <row r="90" spans="14:24" ht="12.75">
      <c r="N90" s="88"/>
      <c r="O90" s="88"/>
      <c r="P90" s="88"/>
      <c r="Q90" s="88"/>
      <c r="R90" s="88"/>
      <c r="S90" s="88"/>
      <c r="T90" s="88"/>
      <c r="U90" s="88"/>
      <c r="V90" s="88"/>
      <c r="W90" s="88"/>
      <c r="X90" s="88"/>
    </row>
    <row r="91" spans="1:24" ht="18.75" thickBot="1">
      <c r="A91" s="35" t="s">
        <v>51</v>
      </c>
      <c r="B91" s="36"/>
      <c r="C91" s="37"/>
      <c r="D91" s="37"/>
      <c r="E91" s="37"/>
      <c r="F91" s="37"/>
      <c r="G91" s="37"/>
      <c r="H91" s="37"/>
      <c r="I91" s="36"/>
      <c r="J91" s="36"/>
      <c r="K91" s="36"/>
      <c r="N91" s="93"/>
      <c r="O91" s="88"/>
      <c r="P91" s="88"/>
      <c r="Q91" s="88"/>
      <c r="R91" s="88"/>
      <c r="S91" s="88"/>
      <c r="T91" s="88"/>
      <c r="U91" s="88"/>
      <c r="V91" s="88"/>
      <c r="W91" s="88"/>
      <c r="X91" s="88"/>
    </row>
    <row r="92" spans="1:24" ht="13.5" thickTop="1">
      <c r="A92" s="16" t="s">
        <v>20</v>
      </c>
      <c r="B92" s="17" t="s">
        <v>21</v>
      </c>
      <c r="C92" s="17" t="s">
        <v>22</v>
      </c>
      <c r="D92" s="17" t="s">
        <v>23</v>
      </c>
      <c r="E92" s="17" t="s">
        <v>24</v>
      </c>
      <c r="F92" s="17" t="s">
        <v>25</v>
      </c>
      <c r="G92" s="17" t="s">
        <v>26</v>
      </c>
      <c r="H92" s="17" t="s">
        <v>27</v>
      </c>
      <c r="I92" s="17" t="s">
        <v>28</v>
      </c>
      <c r="J92" s="17" t="s">
        <v>29</v>
      </c>
      <c r="K92" s="18" t="s">
        <v>30</v>
      </c>
      <c r="N92" s="88"/>
      <c r="O92" s="88"/>
      <c r="P92" s="88"/>
      <c r="Q92" s="88"/>
      <c r="R92" s="88"/>
      <c r="S92" s="88"/>
      <c r="T92" s="88"/>
      <c r="U92" s="88"/>
      <c r="V92" s="88"/>
      <c r="W92" s="88"/>
      <c r="X92" s="88"/>
    </row>
    <row r="93" spans="1:24" ht="13.5" thickBot="1">
      <c r="A93" s="19" t="s">
        <v>31</v>
      </c>
      <c r="B93" s="428"/>
      <c r="C93" s="428"/>
      <c r="D93" s="428"/>
      <c r="E93" s="428"/>
      <c r="F93" s="428"/>
      <c r="G93" s="428"/>
      <c r="H93" s="428"/>
      <c r="I93" s="428"/>
      <c r="J93" s="428"/>
      <c r="K93" s="429"/>
      <c r="N93" s="93"/>
      <c r="O93" s="88"/>
      <c r="P93" s="88"/>
      <c r="Q93" s="88"/>
      <c r="R93" s="88"/>
      <c r="S93" s="88"/>
      <c r="T93" s="88"/>
      <c r="U93" s="88"/>
      <c r="V93" s="88"/>
      <c r="W93" s="88"/>
      <c r="X93" s="88"/>
    </row>
    <row r="94" spans="2:24" ht="14.25" thickBot="1" thickTop="1">
      <c r="B94" s="430"/>
      <c r="C94" s="430"/>
      <c r="D94" s="430"/>
      <c r="E94" s="430"/>
      <c r="F94" s="430"/>
      <c r="G94" s="430"/>
      <c r="H94" s="430"/>
      <c r="I94" s="430"/>
      <c r="J94" s="430"/>
      <c r="K94" s="430"/>
      <c r="N94" s="88"/>
      <c r="O94" s="88"/>
      <c r="P94" s="88"/>
      <c r="Q94" s="88"/>
      <c r="R94" s="88"/>
      <c r="S94" s="88"/>
      <c r="T94" s="88"/>
      <c r="U94" s="88"/>
      <c r="V94" s="88"/>
      <c r="W94" s="88"/>
      <c r="X94" s="88"/>
    </row>
    <row r="95" spans="1:24" ht="13.5" thickTop="1">
      <c r="A95" s="39" t="s">
        <v>33</v>
      </c>
      <c r="B95" s="473"/>
      <c r="C95" s="473"/>
      <c r="D95" s="473"/>
      <c r="E95" s="473"/>
      <c r="F95" s="473"/>
      <c r="G95" s="473"/>
      <c r="H95" s="473"/>
      <c r="I95" s="473"/>
      <c r="J95" s="473"/>
      <c r="K95" s="474"/>
      <c r="N95" s="88"/>
      <c r="O95" s="88">
        <f aca="true" t="shared" si="54" ref="O95:X95">IF((B95)="Y",0,0)</f>
        <v>0</v>
      </c>
      <c r="P95" s="88">
        <f t="shared" si="54"/>
        <v>0</v>
      </c>
      <c r="Q95" s="88">
        <f t="shared" si="54"/>
        <v>0</v>
      </c>
      <c r="R95" s="88">
        <f t="shared" si="54"/>
        <v>0</v>
      </c>
      <c r="S95" s="88">
        <f t="shared" si="54"/>
        <v>0</v>
      </c>
      <c r="T95" s="88">
        <f t="shared" si="54"/>
        <v>0</v>
      </c>
      <c r="U95" s="88">
        <f t="shared" si="54"/>
        <v>0</v>
      </c>
      <c r="V95" s="88">
        <f t="shared" si="54"/>
        <v>0</v>
      </c>
      <c r="W95" s="88">
        <f t="shared" si="54"/>
        <v>0</v>
      </c>
      <c r="X95" s="88">
        <f t="shared" si="54"/>
        <v>0</v>
      </c>
    </row>
    <row r="96" spans="1:24" ht="12.75">
      <c r="A96" s="40" t="s">
        <v>34</v>
      </c>
      <c r="B96" s="433"/>
      <c r="C96" s="433"/>
      <c r="D96" s="433"/>
      <c r="E96" s="433"/>
      <c r="F96" s="433"/>
      <c r="G96" s="433"/>
      <c r="H96" s="433"/>
      <c r="I96" s="433"/>
      <c r="J96" s="433"/>
      <c r="K96" s="475"/>
      <c r="N96" s="88"/>
      <c r="O96" s="88">
        <f aca="true" t="shared" si="55" ref="O96:X96">IF((B96)="Y",2,0)</f>
        <v>0</v>
      </c>
      <c r="P96" s="88">
        <f t="shared" si="55"/>
        <v>0</v>
      </c>
      <c r="Q96" s="88">
        <f t="shared" si="55"/>
        <v>0</v>
      </c>
      <c r="R96" s="88">
        <f t="shared" si="55"/>
        <v>0</v>
      </c>
      <c r="S96" s="88">
        <f t="shared" si="55"/>
        <v>0</v>
      </c>
      <c r="T96" s="88">
        <f t="shared" si="55"/>
        <v>0</v>
      </c>
      <c r="U96" s="88">
        <f t="shared" si="55"/>
        <v>0</v>
      </c>
      <c r="V96" s="88">
        <f t="shared" si="55"/>
        <v>0</v>
      </c>
      <c r="W96" s="88">
        <f t="shared" si="55"/>
        <v>0</v>
      </c>
      <c r="X96" s="88">
        <f t="shared" si="55"/>
        <v>0</v>
      </c>
    </row>
    <row r="97" spans="1:24" ht="12.75">
      <c r="A97" s="41" t="s">
        <v>35</v>
      </c>
      <c r="B97" s="435"/>
      <c r="C97" s="435"/>
      <c r="D97" s="435"/>
      <c r="E97" s="435"/>
      <c r="F97" s="435"/>
      <c r="G97" s="435"/>
      <c r="H97" s="435"/>
      <c r="I97" s="435"/>
      <c r="J97" s="435"/>
      <c r="K97" s="476"/>
      <c r="N97" s="88"/>
      <c r="O97" s="88">
        <f aca="true" t="shared" si="56" ref="O97:X97">IF((B97)="Y",1,0)</f>
        <v>0</v>
      </c>
      <c r="P97" s="88">
        <f t="shared" si="56"/>
        <v>0</v>
      </c>
      <c r="Q97" s="88">
        <f t="shared" si="56"/>
        <v>0</v>
      </c>
      <c r="R97" s="88">
        <f t="shared" si="56"/>
        <v>0</v>
      </c>
      <c r="S97" s="88">
        <f t="shared" si="56"/>
        <v>0</v>
      </c>
      <c r="T97" s="88">
        <f t="shared" si="56"/>
        <v>0</v>
      </c>
      <c r="U97" s="88">
        <f t="shared" si="56"/>
        <v>0</v>
      </c>
      <c r="V97" s="88">
        <f t="shared" si="56"/>
        <v>0</v>
      </c>
      <c r="W97" s="88">
        <f t="shared" si="56"/>
        <v>0</v>
      </c>
      <c r="X97" s="88">
        <f t="shared" si="56"/>
        <v>0</v>
      </c>
    </row>
    <row r="98" spans="1:24" ht="12.75">
      <c r="A98" s="42" t="s">
        <v>36</v>
      </c>
      <c r="B98" s="437"/>
      <c r="C98" s="437"/>
      <c r="D98" s="437"/>
      <c r="E98" s="437"/>
      <c r="F98" s="437"/>
      <c r="G98" s="437"/>
      <c r="H98" s="437"/>
      <c r="I98" s="437"/>
      <c r="J98" s="437"/>
      <c r="K98" s="477"/>
      <c r="N98" s="88"/>
      <c r="O98" s="88">
        <f aca="true" t="shared" si="57" ref="O98:X98">IF((B98)="Y",2,0)</f>
        <v>0</v>
      </c>
      <c r="P98" s="88">
        <f t="shared" si="57"/>
        <v>0</v>
      </c>
      <c r="Q98" s="88">
        <f t="shared" si="57"/>
        <v>0</v>
      </c>
      <c r="R98" s="88">
        <f t="shared" si="57"/>
        <v>0</v>
      </c>
      <c r="S98" s="88">
        <f t="shared" si="57"/>
        <v>0</v>
      </c>
      <c r="T98" s="88">
        <f t="shared" si="57"/>
        <v>0</v>
      </c>
      <c r="U98" s="88">
        <f t="shared" si="57"/>
        <v>0</v>
      </c>
      <c r="V98" s="88">
        <f t="shared" si="57"/>
        <v>0</v>
      </c>
      <c r="W98" s="88">
        <f t="shared" si="57"/>
        <v>0</v>
      </c>
      <c r="X98" s="88">
        <f t="shared" si="57"/>
        <v>0</v>
      </c>
    </row>
    <row r="99" spans="1:24" ht="13.5" thickBot="1">
      <c r="A99" s="43" t="s">
        <v>40</v>
      </c>
      <c r="B99" s="478"/>
      <c r="C99" s="478"/>
      <c r="D99" s="478"/>
      <c r="E99" s="478"/>
      <c r="F99" s="478"/>
      <c r="G99" s="478"/>
      <c r="H99" s="478"/>
      <c r="I99" s="478"/>
      <c r="J99" s="478"/>
      <c r="K99" s="479"/>
      <c r="N99" s="88"/>
      <c r="O99" s="88">
        <f aca="true" t="shared" si="58" ref="O99:X99">IF((B99)="Y",1,0)</f>
        <v>0</v>
      </c>
      <c r="P99" s="88">
        <f t="shared" si="58"/>
        <v>0</v>
      </c>
      <c r="Q99" s="88">
        <f t="shared" si="58"/>
        <v>0</v>
      </c>
      <c r="R99" s="88">
        <f t="shared" si="58"/>
        <v>0</v>
      </c>
      <c r="S99" s="88">
        <f t="shared" si="58"/>
        <v>0</v>
      </c>
      <c r="T99" s="88">
        <f t="shared" si="58"/>
        <v>0</v>
      </c>
      <c r="U99" s="88">
        <f t="shared" si="58"/>
        <v>0</v>
      </c>
      <c r="V99" s="88">
        <f t="shared" si="58"/>
        <v>0</v>
      </c>
      <c r="W99" s="88">
        <f t="shared" si="58"/>
        <v>0</v>
      </c>
      <c r="X99" s="88">
        <f t="shared" si="58"/>
        <v>0</v>
      </c>
    </row>
    <row r="100" spans="1:24" ht="14.25" thickBot="1" thickTop="1">
      <c r="A100" s="1"/>
      <c r="B100" s="447"/>
      <c r="C100" s="447"/>
      <c r="D100" s="447"/>
      <c r="E100" s="447"/>
      <c r="F100" s="447"/>
      <c r="G100" s="447"/>
      <c r="H100" s="447"/>
      <c r="I100" s="447"/>
      <c r="J100" s="447"/>
      <c r="K100" s="447"/>
      <c r="N100" s="89" t="s">
        <v>41</v>
      </c>
      <c r="O100" s="90">
        <f aca="true" t="shared" si="59" ref="O100:X100">SUM(O95:O99)</f>
        <v>0</v>
      </c>
      <c r="P100" s="90">
        <f t="shared" si="59"/>
        <v>0</v>
      </c>
      <c r="Q100" s="90">
        <f t="shared" si="59"/>
        <v>0</v>
      </c>
      <c r="R100" s="90">
        <f t="shared" si="59"/>
        <v>0</v>
      </c>
      <c r="S100" s="90">
        <f t="shared" si="59"/>
        <v>0</v>
      </c>
      <c r="T100" s="90">
        <f t="shared" si="59"/>
        <v>0</v>
      </c>
      <c r="U100" s="90">
        <f t="shared" si="59"/>
        <v>0</v>
      </c>
      <c r="V100" s="90">
        <f t="shared" si="59"/>
        <v>0</v>
      </c>
      <c r="W100" s="90">
        <f t="shared" si="59"/>
        <v>0</v>
      </c>
      <c r="X100" s="90">
        <f t="shared" si="59"/>
        <v>0</v>
      </c>
    </row>
    <row r="101" spans="1:24" ht="13.5" thickTop="1">
      <c r="A101" s="38" t="s">
        <v>42</v>
      </c>
      <c r="B101" s="448"/>
      <c r="C101" s="448"/>
      <c r="D101" s="448"/>
      <c r="E101" s="448"/>
      <c r="F101" s="448"/>
      <c r="G101" s="448"/>
      <c r="H101" s="448"/>
      <c r="I101" s="448"/>
      <c r="J101" s="448"/>
      <c r="K101" s="449"/>
      <c r="N101" s="88"/>
      <c r="O101" s="91">
        <f>IF((B101)="Y",(O100+1)*5,0)</f>
        <v>0</v>
      </c>
      <c r="P101" s="91">
        <f aca="true" t="shared" si="60" ref="P101:X101">IF((C101)="Y",(P100+1)*5,0)</f>
        <v>0</v>
      </c>
      <c r="Q101" s="91">
        <f t="shared" si="60"/>
        <v>0</v>
      </c>
      <c r="R101" s="91">
        <f t="shared" si="60"/>
        <v>0</v>
      </c>
      <c r="S101" s="91">
        <f t="shared" si="60"/>
        <v>0</v>
      </c>
      <c r="T101" s="91">
        <f t="shared" si="60"/>
        <v>0</v>
      </c>
      <c r="U101" s="91">
        <f t="shared" si="60"/>
        <v>0</v>
      </c>
      <c r="V101" s="91">
        <f t="shared" si="60"/>
        <v>0</v>
      </c>
      <c r="W101" s="91">
        <f t="shared" si="60"/>
        <v>0</v>
      </c>
      <c r="X101" s="91">
        <f t="shared" si="60"/>
        <v>0</v>
      </c>
    </row>
    <row r="102" spans="1:24" ht="13.5" thickBot="1">
      <c r="A102" s="557" t="s">
        <v>43</v>
      </c>
      <c r="B102" s="558"/>
      <c r="C102" s="558"/>
      <c r="D102" s="558"/>
      <c r="E102" s="558"/>
      <c r="F102" s="558"/>
      <c r="G102" s="558"/>
      <c r="H102" s="558"/>
      <c r="I102" s="558"/>
      <c r="J102" s="558"/>
      <c r="K102" s="559"/>
      <c r="N102" s="88"/>
      <c r="O102" s="91">
        <f>IF((B102)="Y",(O100+1)*50,0)</f>
        <v>0</v>
      </c>
      <c r="P102" s="91">
        <f aca="true" t="shared" si="61" ref="P102:X102">IF((C102)="Y",(P100+1)*50,0)</f>
        <v>0</v>
      </c>
      <c r="Q102" s="91">
        <f t="shared" si="61"/>
        <v>0</v>
      </c>
      <c r="R102" s="91">
        <f t="shared" si="61"/>
        <v>0</v>
      </c>
      <c r="S102" s="91">
        <f t="shared" si="61"/>
        <v>0</v>
      </c>
      <c r="T102" s="91">
        <f t="shared" si="61"/>
        <v>0</v>
      </c>
      <c r="U102" s="91">
        <f t="shared" si="61"/>
        <v>0</v>
      </c>
      <c r="V102" s="91">
        <f t="shared" si="61"/>
        <v>0</v>
      </c>
      <c r="W102" s="91">
        <f t="shared" si="61"/>
        <v>0</v>
      </c>
      <c r="X102" s="91">
        <f t="shared" si="61"/>
        <v>0</v>
      </c>
    </row>
    <row r="103" spans="2:24" ht="13.5" thickTop="1">
      <c r="B103" s="2"/>
      <c r="C103" s="2"/>
      <c r="D103" s="2"/>
      <c r="E103" s="2"/>
      <c r="F103" s="2"/>
      <c r="G103" s="2"/>
      <c r="H103" s="2"/>
      <c r="I103" s="2"/>
      <c r="J103" s="2"/>
      <c r="K103" s="2"/>
      <c r="N103" s="89" t="s">
        <v>45</v>
      </c>
      <c r="O103" s="92">
        <f aca="true" t="shared" si="62" ref="O103:X103">SUM(O101:O102)</f>
        <v>0</v>
      </c>
      <c r="P103" s="92">
        <f t="shared" si="62"/>
        <v>0</v>
      </c>
      <c r="Q103" s="92">
        <f t="shared" si="62"/>
        <v>0</v>
      </c>
      <c r="R103" s="92">
        <f t="shared" si="62"/>
        <v>0</v>
      </c>
      <c r="S103" s="92">
        <f t="shared" si="62"/>
        <v>0</v>
      </c>
      <c r="T103" s="92">
        <f t="shared" si="62"/>
        <v>0</v>
      </c>
      <c r="U103" s="92">
        <f t="shared" si="62"/>
        <v>0</v>
      </c>
      <c r="V103" s="92">
        <f t="shared" si="62"/>
        <v>0</v>
      </c>
      <c r="W103" s="92">
        <f t="shared" si="62"/>
        <v>0</v>
      </c>
      <c r="X103" s="92">
        <f t="shared" si="62"/>
        <v>0</v>
      </c>
    </row>
    <row r="104" spans="1:11" ht="12.75">
      <c r="A104" s="50" t="s">
        <v>46</v>
      </c>
      <c r="B104" s="246">
        <f aca="true" t="shared" si="63" ref="B104:K104">+(O103)*(B93)</f>
        <v>0</v>
      </c>
      <c r="C104" s="246">
        <f t="shared" si="63"/>
        <v>0</v>
      </c>
      <c r="D104" s="246">
        <f t="shared" si="63"/>
        <v>0</v>
      </c>
      <c r="E104" s="246">
        <f t="shared" si="63"/>
        <v>0</v>
      </c>
      <c r="F104" s="246">
        <f t="shared" si="63"/>
        <v>0</v>
      </c>
      <c r="G104" s="246">
        <f t="shared" si="63"/>
        <v>0</v>
      </c>
      <c r="H104" s="246">
        <f t="shared" si="63"/>
        <v>0</v>
      </c>
      <c r="I104" s="246">
        <f t="shared" si="63"/>
        <v>0</v>
      </c>
      <c r="J104" s="246">
        <f t="shared" si="63"/>
        <v>0</v>
      </c>
      <c r="K104" s="246">
        <f t="shared" si="63"/>
        <v>0</v>
      </c>
    </row>
    <row r="105" spans="1:11" ht="12.75">
      <c r="A105" s="3" t="s">
        <v>47</v>
      </c>
      <c r="B105" s="5">
        <f aca="true" t="shared" si="64" ref="B105:K105">+IF(B102="Y",B104*$P$4,0)</f>
        <v>0</v>
      </c>
      <c r="C105" s="5">
        <f t="shared" si="64"/>
        <v>0</v>
      </c>
      <c r="D105" s="5">
        <f t="shared" si="64"/>
        <v>0</v>
      </c>
      <c r="E105" s="5">
        <f t="shared" si="64"/>
        <v>0</v>
      </c>
      <c r="F105" s="5">
        <f t="shared" si="64"/>
        <v>0</v>
      </c>
      <c r="G105" s="5">
        <f t="shared" si="64"/>
        <v>0</v>
      </c>
      <c r="H105" s="5">
        <f t="shared" si="64"/>
        <v>0</v>
      </c>
      <c r="I105" s="5">
        <f t="shared" si="64"/>
        <v>0</v>
      </c>
      <c r="J105" s="5">
        <f t="shared" si="64"/>
        <v>0</v>
      </c>
      <c r="K105" s="5">
        <f t="shared" si="64"/>
        <v>0</v>
      </c>
    </row>
    <row r="108" spans="5:8" ht="12.75">
      <c r="E108" s="3" t="s">
        <v>52</v>
      </c>
      <c r="F108" s="73">
        <f>SUM(B31:K31,B53:K53,B70:K70,B87:K87,B104:K104)</f>
        <v>38200</v>
      </c>
      <c r="G108" s="8"/>
      <c r="H108" s="1" t="s">
        <v>53</v>
      </c>
    </row>
    <row r="109" spans="5:8" ht="12.75">
      <c r="E109" s="3" t="s">
        <v>54</v>
      </c>
      <c r="F109" s="73">
        <f>SUM(B32:K32,B54:K54,B71:K71,B88:K88,B105:K105)</f>
        <v>3610</v>
      </c>
      <c r="G109" s="8"/>
      <c r="H109" s="1" t="s">
        <v>55</v>
      </c>
    </row>
    <row r="111" spans="5:8" ht="12.75">
      <c r="E111" s="3" t="s">
        <v>56</v>
      </c>
      <c r="F111" s="74">
        <f>+(F108)/4</f>
        <v>9550</v>
      </c>
      <c r="G111" s="8"/>
      <c r="H111" s="1" t="s">
        <v>53</v>
      </c>
    </row>
    <row r="112" spans="5:8" ht="12.75">
      <c r="E112" s="76" t="s">
        <v>57</v>
      </c>
      <c r="F112" s="74"/>
      <c r="G112" s="8"/>
      <c r="H112" s="1"/>
    </row>
    <row r="113" spans="5:8" ht="12.75">
      <c r="E113" s="76"/>
      <c r="F113" s="74"/>
      <c r="G113" s="8"/>
      <c r="H113" s="1"/>
    </row>
    <row r="114" spans="5:8" ht="12.75">
      <c r="E114" s="76"/>
      <c r="F114" s="74"/>
      <c r="G114" s="8"/>
      <c r="H114" s="1"/>
    </row>
    <row r="115" spans="1:18" ht="18">
      <c r="A115" s="10" t="s">
        <v>58</v>
      </c>
      <c r="B115" s="10"/>
      <c r="C115" s="10"/>
      <c r="D115" s="10"/>
      <c r="E115" s="10"/>
      <c r="F115" s="77"/>
      <c r="G115" s="10"/>
      <c r="H115" s="10"/>
      <c r="I115" s="10"/>
      <c r="J115" s="10"/>
      <c r="K115" s="8"/>
      <c r="L115" s="8"/>
      <c r="M115" s="8"/>
      <c r="N115" s="8"/>
      <c r="P115" s="10" t="s">
        <v>59</v>
      </c>
      <c r="Q115" s="9"/>
      <c r="R115" s="9"/>
    </row>
    <row r="116" ht="12.75">
      <c r="A116" s="94"/>
    </row>
    <row r="117" spans="1:8" ht="12.75">
      <c r="A117" s="94"/>
      <c r="C117" s="138" t="s">
        <v>60</v>
      </c>
      <c r="D117" s="8"/>
      <c r="E117" s="8"/>
      <c r="F117" s="8"/>
      <c r="G117" s="8"/>
      <c r="H117" s="8"/>
    </row>
    <row r="118" ht="12.75">
      <c r="A118" s="94"/>
    </row>
    <row r="119" ht="13.5" thickBot="1">
      <c r="A119" s="94"/>
    </row>
    <row r="120" spans="1:25" ht="21" thickTop="1">
      <c r="A120" s="152" t="s">
        <v>61</v>
      </c>
      <c r="B120" s="153" t="s">
        <v>62</v>
      </c>
      <c r="C120" s="153" t="s">
        <v>63</v>
      </c>
      <c r="D120" s="153" t="s">
        <v>64</v>
      </c>
      <c r="E120" s="153" t="s">
        <v>65</v>
      </c>
      <c r="F120" s="154" t="s">
        <v>66</v>
      </c>
      <c r="H120" s="139" t="s">
        <v>67</v>
      </c>
      <c r="I120" s="140"/>
      <c r="J120" s="140"/>
      <c r="N120" s="150" t="s">
        <v>62</v>
      </c>
      <c r="O120" s="150" t="s">
        <v>63</v>
      </c>
      <c r="P120" s="150" t="s">
        <v>64</v>
      </c>
      <c r="Q120" s="150" t="s">
        <v>65</v>
      </c>
      <c r="R120" s="150" t="s">
        <v>66</v>
      </c>
      <c r="S120" s="150" t="s">
        <v>68</v>
      </c>
      <c r="U120" s="2"/>
      <c r="V120" s="2"/>
      <c r="W120" s="2"/>
      <c r="X120" s="2"/>
      <c r="Y120" s="2"/>
    </row>
    <row r="121" spans="1:19" ht="13.5">
      <c r="A121" s="160" t="s">
        <v>69</v>
      </c>
      <c r="B121" s="480" t="s">
        <v>70</v>
      </c>
      <c r="C121" s="480"/>
      <c r="D121" s="480"/>
      <c r="E121" s="480"/>
      <c r="F121" s="481"/>
      <c r="I121" s="98" t="s">
        <v>71</v>
      </c>
      <c r="J121" s="99"/>
      <c r="N121" s="151">
        <f>+IF((B121)="Small",50,(IF((B121)="Average",50*5,(IF((B121)="Large",50*20,(IF((B121)="Major",50*60,0)))))))</f>
        <v>1000</v>
      </c>
      <c r="O121" s="151">
        <f>+IF((C121)="Small",50,(IF((C121)="Average",50*5,(IF((C121)="Large",50*20,(IF((C121)="Major",50*60,0)))))))</f>
        <v>0</v>
      </c>
      <c r="P121" s="151">
        <f>+IF((D121)="Small",50,(IF((D121)="Average",50*5,(IF((D121)="Large",50*20,(IF((D121)="Major",50*60,0)))))))</f>
        <v>0</v>
      </c>
      <c r="Q121" s="151">
        <f>+IF((E121)="Small",50,(IF((E121)="Average",50*5,(IF((E121)="Large",50*20,(IF((E121)="Major",50*60,0)))))))</f>
        <v>0</v>
      </c>
      <c r="R121" s="151">
        <f>+IF((F121)="Small",50,(IF((F121)="Average",50*5,(IF((F121)="Large",50*20,(IF((F121)="Major",50*60,0)))))))</f>
        <v>0</v>
      </c>
      <c r="S121" s="151">
        <f aca="true" t="shared" si="65" ref="S121:S128">+SUM(N121:R121)</f>
        <v>1000</v>
      </c>
    </row>
    <row r="122" spans="1:19" ht="13.5">
      <c r="A122" s="160" t="s">
        <v>72</v>
      </c>
      <c r="B122" s="480"/>
      <c r="C122" s="480"/>
      <c r="D122" s="480"/>
      <c r="E122" s="480"/>
      <c r="F122" s="481"/>
      <c r="I122" s="98" t="s">
        <v>73</v>
      </c>
      <c r="J122" s="99"/>
      <c r="N122" s="151">
        <f>+IF((B122)="Small",75,(IF((B122)="Average",75*5,(IF((B122)="Large",75*20,(IF((B122)="Major",75*60,0)))))))</f>
        <v>0</v>
      </c>
      <c r="O122" s="151">
        <f>+IF((C122)="Small",75,(IF((C122)="Average",75*5,(IF((C122)="Large",75*20,(IF((C122)="Major",75*60,0)))))))</f>
        <v>0</v>
      </c>
      <c r="P122" s="151">
        <f>+IF((D122)="Small",75,(IF((D122)="Average",75*5,(IF((D122)="Large",75*20,(IF((D122)="Major",75*60,0)))))))</f>
        <v>0</v>
      </c>
      <c r="Q122" s="151">
        <f>+IF((E122)="Small",75,(IF((E122)="Average",75*5,(IF((E122)="Large",75*20,(IF((E122)="Major",75*60,0)))))))</f>
        <v>0</v>
      </c>
      <c r="R122" s="151">
        <f>+IF((F122)="Small",75,(IF((F122)="Average",75*5,(IF((F122)="Large",75*20,(IF((F122)="Major",75*60,0)))))))</f>
        <v>0</v>
      </c>
      <c r="S122" s="151">
        <f t="shared" si="65"/>
        <v>0</v>
      </c>
    </row>
    <row r="123" spans="1:19" ht="13.5">
      <c r="A123" s="160" t="s">
        <v>74</v>
      </c>
      <c r="B123" s="480"/>
      <c r="C123" s="480"/>
      <c r="D123" s="480"/>
      <c r="E123" s="480"/>
      <c r="F123" s="481"/>
      <c r="I123" s="98" t="s">
        <v>70</v>
      </c>
      <c r="J123" s="99"/>
      <c r="N123" s="151">
        <f>+IF((B123)="Small",100,(IF((B123)="Average",100*5,(IF((B123)="Large",100*20,(IF((B123)="Major",100*60,0)))))))</f>
        <v>0</v>
      </c>
      <c r="O123" s="151">
        <f>+IF((C123)="Small",100,(IF((C123)="Average",100*5,(IF((C123)="Large",100*20,(IF((C123)="Major",100*60,0)))))))</f>
        <v>0</v>
      </c>
      <c r="P123" s="151">
        <f>+IF((D123)="Small",100,(IF((D123)="Average",100*5,(IF((D123)="Large",100*20,(IF((D123)="Major",100*60,0)))))))</f>
        <v>0</v>
      </c>
      <c r="Q123" s="151">
        <f>+IF((E123)="Small",100,(IF((E123)="Average",100*5,(IF((E123)="Large",100*20,(IF((E123)="Major",100*60,0)))))))</f>
        <v>0</v>
      </c>
      <c r="R123" s="151">
        <f>+IF((F123)="Small",100,(IF((F123)="Average",100*5,(IF((F123)="Large",100*20,(IF((F123)="Major",100*60,0)))))))</f>
        <v>0</v>
      </c>
      <c r="S123" s="151">
        <f t="shared" si="65"/>
        <v>0</v>
      </c>
    </row>
    <row r="124" spans="1:19" ht="13.5">
      <c r="A124" s="160" t="s">
        <v>75</v>
      </c>
      <c r="B124" s="480"/>
      <c r="C124" s="480"/>
      <c r="D124" s="480"/>
      <c r="E124" s="480"/>
      <c r="F124" s="481"/>
      <c r="I124" s="98" t="s">
        <v>76</v>
      </c>
      <c r="J124" s="99"/>
      <c r="N124" s="151">
        <f>+IF((B124)="Small",150,(IF((B124)="Average",150*5,(IF((B124)="Large",150*20,(IF((B124)="Major",150*60,0)))))))</f>
        <v>0</v>
      </c>
      <c r="O124" s="151">
        <f>+IF((C124)="Small",150,(IF((C124)="Average",150*5,(IF((C124)="Large",150*20,(IF((C124)="Major",150*60,0)))))))</f>
        <v>0</v>
      </c>
      <c r="P124" s="151">
        <f>+IF((D124)="Small",150,(IF((D124)="Average",150*5,(IF((D124)="Large",150*20,(IF((D124)="Major",150*60,0)))))))</f>
        <v>0</v>
      </c>
      <c r="Q124" s="151">
        <f>+IF((E124)="Small",150,(IF((E124)="Average",150*5,(IF((E124)="Large",150*20,(IF((E124)="Major",150*60,0)))))))</f>
        <v>0</v>
      </c>
      <c r="R124" s="151">
        <f>+IF((F124)="Small",150,(IF((F124)="Average",150*5,(IF((F124)="Large",150*20,(IF((F124)="Major",150*60,0)))))))</f>
        <v>0</v>
      </c>
      <c r="S124" s="151">
        <f t="shared" si="65"/>
        <v>0</v>
      </c>
    </row>
    <row r="125" spans="1:19" ht="13.5">
      <c r="A125" s="160" t="s">
        <v>77</v>
      </c>
      <c r="B125" s="480"/>
      <c r="C125" s="480"/>
      <c r="D125" s="480"/>
      <c r="E125" s="480"/>
      <c r="F125" s="481"/>
      <c r="I125" s="98"/>
      <c r="J125" s="98"/>
      <c r="N125" s="151">
        <f>+IF((B125)="Small",200,(IF((B125)="Average",200*5,(IF((B125)="Large",200*20,(IF((B125)="Major",200*60,0)))))))</f>
        <v>0</v>
      </c>
      <c r="O125" s="151">
        <f>+IF((C125)="Small",200,(IF((C125)="Average",200*5,(IF((C125)="Large",200*20,(IF((C125)="Major",200*60,0)))))))</f>
        <v>0</v>
      </c>
      <c r="P125" s="151">
        <f>+IF((D125)="Small",200,(IF((D125)="Average",200*5,(IF((D125)="Large",200*20,(IF((D125)="Major",200*60,0)))))))</f>
        <v>0</v>
      </c>
      <c r="Q125" s="151">
        <f>+IF((E125)="Small",200,(IF((E125)="Average",200*5,(IF((E125)="Large",200*20,(IF((E125)="Major",200*60,0)))))))</f>
        <v>0</v>
      </c>
      <c r="R125" s="151">
        <f>+IF((F125)="Small",200,(IF((F125)="Average",200*5,(IF((F125)="Large",200*20,(IF((F125)="Major",200*60,0)))))))</f>
        <v>0</v>
      </c>
      <c r="S125" s="151">
        <f t="shared" si="65"/>
        <v>0</v>
      </c>
    </row>
    <row r="126" spans="1:19" ht="13.5">
      <c r="A126" s="160" t="s">
        <v>78</v>
      </c>
      <c r="B126" s="480" t="s">
        <v>71</v>
      </c>
      <c r="C126" s="480" t="s">
        <v>73</v>
      </c>
      <c r="D126" s="480"/>
      <c r="E126" s="480"/>
      <c r="F126" s="481"/>
      <c r="N126" s="151">
        <f>+IF((B126)="Small",300,(IF((B126)="Average",300*5,(IF((B126)="Large",300*20,(IF((B126)="Major",300*60,0)))))))</f>
        <v>300</v>
      </c>
      <c r="O126" s="151">
        <f>+IF((C126)="Small",300,(IF((C126)="Average",300*5,(IF((C126)="Large",300*20,(IF((C126)="Major",300*60,0)))))))</f>
        <v>1500</v>
      </c>
      <c r="P126" s="151">
        <f>+IF((D126)="Small",300,(IF((D126)="Average",300*5,(IF((D126)="Large",300*20,(IF((D126)="Major",300*60,0)))))))</f>
        <v>0</v>
      </c>
      <c r="Q126" s="151">
        <f>+IF((E126)="Small",300,(IF((E126)="Average",300*5,(IF((E126)="Large",300*20,(IF((E126)="Major",300*60,0)))))))</f>
        <v>0</v>
      </c>
      <c r="R126" s="151">
        <f>+IF((F126)="Small",300,(IF((F126)="Average",300*5,(IF((F126)="Large",300*20,(IF((F126)="Major",300*60,0)))))))</f>
        <v>0</v>
      </c>
      <c r="S126" s="151">
        <f t="shared" si="65"/>
        <v>1800</v>
      </c>
    </row>
    <row r="127" spans="1:19" ht="13.5">
      <c r="A127" s="160" t="s">
        <v>79</v>
      </c>
      <c r="B127" s="480"/>
      <c r="C127" s="480"/>
      <c r="D127" s="480"/>
      <c r="E127" s="480"/>
      <c r="F127" s="481"/>
      <c r="N127" s="151">
        <f>+IF((B127)="Small",400,(IF((B127)="Average",400*5,(IF((B127)="Large",400*20,(IF((B127)="Major",400*60,0)))))))</f>
        <v>0</v>
      </c>
      <c r="O127" s="151">
        <f>+IF((C127)="Small",400,(IF((C127)="Average",400*5,(IF((C127)="Large",400*20,(IF((C127)="Major",400*60,0)))))))</f>
        <v>0</v>
      </c>
      <c r="P127" s="151">
        <f>+IF((D127)="Small",400,(IF((D127)="Average",400*5,(IF((D127)="Large",400*20,(IF((D127)="Major",400*60,0)))))))</f>
        <v>0</v>
      </c>
      <c r="Q127" s="151">
        <f>+IF((E127)="Small",400,(IF((E127)="Average",400*5,(IF((E127)="Large",400*20,(IF((E127)="Major",400*60,0)))))))</f>
        <v>0</v>
      </c>
      <c r="R127" s="151">
        <f>+IF((F127)="Small",400,(IF((F127)="Average",400*5,(IF((F127)="Large",400*20,(IF((F127)="Major",400*60,0)))))))</f>
        <v>0</v>
      </c>
      <c r="S127" s="151">
        <f t="shared" si="65"/>
        <v>0</v>
      </c>
    </row>
    <row r="128" spans="1:19" ht="13.5">
      <c r="A128" s="160" t="s">
        <v>80</v>
      </c>
      <c r="B128" s="480"/>
      <c r="C128" s="480"/>
      <c r="D128" s="480"/>
      <c r="E128" s="480"/>
      <c r="F128" s="481"/>
      <c r="N128" s="151">
        <f>+IF((B128)="Small",500,(IF((B128)="Average",500*5,(IF((B128)="Large",500*20,(IF((B128)="Major",500*60,0)))))))</f>
        <v>0</v>
      </c>
      <c r="O128" s="151">
        <f>+IF((C128)="Small",500,(IF((C128)="Average",500*5,(IF((C128)="Large",500*20,(IF((C128)="Major",500*60,0)))))))</f>
        <v>0</v>
      </c>
      <c r="P128" s="151">
        <f>+IF((D128)="Small",500,(IF((D128)="Average",500*5,(IF((D128)="Large",500*20,(IF((D128)="Major",500*60,0)))))))</f>
        <v>0</v>
      </c>
      <c r="Q128" s="151">
        <f>+IF((E128)="Small",500,(IF((E128)="Average",500*5,(IF((E128)="Large",500*20,(IF((E128)="Major",500*60,0)))))))</f>
        <v>0</v>
      </c>
      <c r="R128" s="151">
        <f>+IF((F128)="Small",500,(IF((F128)="Average",500*5,(IF((F128)="Large",500*20,(IF((F128)="Major",500*60,0)))))))</f>
        <v>0</v>
      </c>
      <c r="S128" s="151">
        <f t="shared" si="65"/>
        <v>0</v>
      </c>
    </row>
    <row r="129" spans="1:6" ht="14.25" thickBot="1">
      <c r="A129" s="155"/>
      <c r="B129" s="95"/>
      <c r="C129" s="96"/>
      <c r="D129" s="159" t="s">
        <v>81</v>
      </c>
      <c r="E129" s="143">
        <f>+SUM(S121:S128)</f>
        <v>2800</v>
      </c>
      <c r="F129" s="156" t="s">
        <v>82</v>
      </c>
    </row>
    <row r="130" spans="1:10" ht="21.75" thickBot="1" thickTop="1">
      <c r="A130" s="157" t="s">
        <v>83</v>
      </c>
      <c r="B130" s="141" t="s">
        <v>62</v>
      </c>
      <c r="C130" s="141" t="s">
        <v>63</v>
      </c>
      <c r="D130" s="141" t="s">
        <v>64</v>
      </c>
      <c r="E130" s="141" t="s">
        <v>65</v>
      </c>
      <c r="F130" s="158" t="s">
        <v>66</v>
      </c>
      <c r="J130" s="97"/>
    </row>
    <row r="131" spans="1:11" ht="14.25" thickTop="1">
      <c r="A131" s="161" t="s">
        <v>69</v>
      </c>
      <c r="B131" s="145">
        <f>+IF((B121)="Small",20,(IF((B121)="Average",50,(IF((B121)="Large",100,(IF((B121)="Major",200,0)))))))</f>
        <v>100</v>
      </c>
      <c r="C131" s="145">
        <f aca="true" t="shared" si="66" ref="C131:F138">+IF((C121)="Small",20,(IF((C121)="Average",50,(IF((C121)="Large",100,(IF((C121)="Major",200,0)))))))</f>
        <v>0</v>
      </c>
      <c r="D131" s="145">
        <f t="shared" si="66"/>
        <v>0</v>
      </c>
      <c r="E131" s="145">
        <f t="shared" si="66"/>
        <v>0</v>
      </c>
      <c r="F131" s="146">
        <f t="shared" si="66"/>
        <v>0</v>
      </c>
      <c r="H131" s="144"/>
      <c r="K131" s="97"/>
    </row>
    <row r="132" spans="1:11" ht="13.5">
      <c r="A132" s="160" t="s">
        <v>72</v>
      </c>
      <c r="B132" s="147">
        <f aca="true" t="shared" si="67" ref="B132:B138">+IF((B122)="Small",20,(IF((B122)="Average",50,(IF((B122)="Large",100,(IF((B122)="Major",200,0)))))))</f>
        <v>0</v>
      </c>
      <c r="C132" s="147">
        <f t="shared" si="66"/>
        <v>0</v>
      </c>
      <c r="D132" s="147">
        <f t="shared" si="66"/>
        <v>0</v>
      </c>
      <c r="E132" s="147">
        <f t="shared" si="66"/>
        <v>0</v>
      </c>
      <c r="F132" s="142">
        <f t="shared" si="66"/>
        <v>0</v>
      </c>
      <c r="H132" s="144"/>
      <c r="K132" s="97"/>
    </row>
    <row r="133" spans="1:11" ht="13.5">
      <c r="A133" s="160" t="s">
        <v>74</v>
      </c>
      <c r="B133" s="147">
        <f t="shared" si="67"/>
        <v>0</v>
      </c>
      <c r="C133" s="147">
        <f t="shared" si="66"/>
        <v>0</v>
      </c>
      <c r="D133" s="147">
        <f t="shared" si="66"/>
        <v>0</v>
      </c>
      <c r="E133" s="147">
        <f t="shared" si="66"/>
        <v>0</v>
      </c>
      <c r="F133" s="142">
        <f t="shared" si="66"/>
        <v>0</v>
      </c>
      <c r="H133" s="144"/>
      <c r="K133" s="97"/>
    </row>
    <row r="134" spans="1:11" ht="13.5">
      <c r="A134" s="160" t="s">
        <v>75</v>
      </c>
      <c r="B134" s="147">
        <f t="shared" si="67"/>
        <v>0</v>
      </c>
      <c r="C134" s="147">
        <f t="shared" si="66"/>
        <v>0</v>
      </c>
      <c r="D134" s="147">
        <f t="shared" si="66"/>
        <v>0</v>
      </c>
      <c r="E134" s="147">
        <f t="shared" si="66"/>
        <v>0</v>
      </c>
      <c r="F134" s="142">
        <f t="shared" si="66"/>
        <v>0</v>
      </c>
      <c r="H134" s="144"/>
      <c r="I134" s="97" t="s">
        <v>84</v>
      </c>
      <c r="K134" s="97"/>
    </row>
    <row r="135" spans="1:11" ht="13.5">
      <c r="A135" s="160" t="s">
        <v>77</v>
      </c>
      <c r="B135" s="147">
        <f t="shared" si="67"/>
        <v>0</v>
      </c>
      <c r="C135" s="147">
        <f t="shared" si="66"/>
        <v>0</v>
      </c>
      <c r="D135" s="147">
        <f t="shared" si="66"/>
        <v>0</v>
      </c>
      <c r="E135" s="147">
        <f t="shared" si="66"/>
        <v>0</v>
      </c>
      <c r="F135" s="142">
        <f t="shared" si="66"/>
        <v>0</v>
      </c>
      <c r="H135" s="144"/>
      <c r="I135" s="97" t="s">
        <v>85</v>
      </c>
      <c r="K135" s="97"/>
    </row>
    <row r="136" spans="1:11" ht="13.5">
      <c r="A136" s="160" t="s">
        <v>78</v>
      </c>
      <c r="B136" s="147">
        <f t="shared" si="67"/>
        <v>20</v>
      </c>
      <c r="C136" s="147">
        <f t="shared" si="66"/>
        <v>50</v>
      </c>
      <c r="D136" s="147">
        <f t="shared" si="66"/>
        <v>0</v>
      </c>
      <c r="E136" s="147">
        <f t="shared" si="66"/>
        <v>0</v>
      </c>
      <c r="F136" s="142">
        <f t="shared" si="66"/>
        <v>0</v>
      </c>
      <c r="H136" s="144"/>
      <c r="K136" s="97"/>
    </row>
    <row r="137" spans="1:11" ht="13.5">
      <c r="A137" s="160" t="s">
        <v>79</v>
      </c>
      <c r="B137" s="147">
        <f t="shared" si="67"/>
        <v>0</v>
      </c>
      <c r="C137" s="147">
        <f t="shared" si="66"/>
        <v>0</v>
      </c>
      <c r="D137" s="147">
        <f t="shared" si="66"/>
        <v>0</v>
      </c>
      <c r="E137" s="147">
        <f t="shared" si="66"/>
        <v>0</v>
      </c>
      <c r="F137" s="142">
        <f t="shared" si="66"/>
        <v>0</v>
      </c>
      <c r="H137" s="144"/>
      <c r="K137" s="97"/>
    </row>
    <row r="138" spans="1:11" ht="14.25" thickBot="1">
      <c r="A138" s="162" t="s">
        <v>80</v>
      </c>
      <c r="B138" s="148">
        <f t="shared" si="67"/>
        <v>0</v>
      </c>
      <c r="C138" s="148">
        <f t="shared" si="66"/>
        <v>0</v>
      </c>
      <c r="D138" s="148">
        <f t="shared" si="66"/>
        <v>0</v>
      </c>
      <c r="E138" s="148">
        <f t="shared" si="66"/>
        <v>0</v>
      </c>
      <c r="F138" s="149">
        <f t="shared" si="66"/>
        <v>0</v>
      </c>
      <c r="H138" s="144"/>
      <c r="K138" s="97"/>
    </row>
    <row r="139" spans="1:10" ht="14.25" thickBot="1" thickTop="1">
      <c r="A139" s="100"/>
      <c r="B139" s="95"/>
      <c r="C139" s="101"/>
      <c r="H139" s="101"/>
      <c r="I139" s="102"/>
      <c r="J139" s="95"/>
    </row>
    <row r="140" spans="1:10" ht="21" thickTop="1">
      <c r="A140" s="564" t="s">
        <v>86</v>
      </c>
      <c r="B140" s="565"/>
      <c r="C140" s="566"/>
      <c r="D140" s="565"/>
      <c r="E140" s="565"/>
      <c r="F140" s="567"/>
      <c r="H140" s="101"/>
      <c r="I140" s="102"/>
      <c r="J140" s="95"/>
    </row>
    <row r="141" spans="1:10" ht="12.75">
      <c r="A141" s="568" t="s">
        <v>87</v>
      </c>
      <c r="B141" s="569" t="s">
        <v>68</v>
      </c>
      <c r="C141" s="570" t="s">
        <v>88</v>
      </c>
      <c r="D141" s="571" t="s">
        <v>89</v>
      </c>
      <c r="E141" s="572"/>
      <c r="F141" s="573"/>
      <c r="H141" s="101"/>
      <c r="I141" s="102"/>
      <c r="J141" s="95"/>
    </row>
    <row r="142" spans="1:10" ht="13.5">
      <c r="A142" s="574" t="s">
        <v>90</v>
      </c>
      <c r="B142" s="575">
        <v>300</v>
      </c>
      <c r="C142" s="576">
        <v>350</v>
      </c>
      <c r="D142" s="577" t="s">
        <v>91</v>
      </c>
      <c r="E142" s="578"/>
      <c r="F142" s="579"/>
      <c r="H142" s="101"/>
      <c r="I142" s="102"/>
      <c r="J142" s="95"/>
    </row>
    <row r="143" spans="1:10" ht="13.5">
      <c r="A143" s="580" t="s">
        <v>92</v>
      </c>
      <c r="B143" s="575">
        <v>450</v>
      </c>
      <c r="C143" s="576"/>
      <c r="D143" s="581" t="s">
        <v>93</v>
      </c>
      <c r="E143" s="582"/>
      <c r="F143" s="583"/>
      <c r="H143" s="101"/>
      <c r="I143" s="534" t="s">
        <v>94</v>
      </c>
      <c r="J143" s="95"/>
    </row>
    <row r="144" spans="1:10" ht="13.5">
      <c r="A144" s="580" t="s">
        <v>95</v>
      </c>
      <c r="B144" s="575">
        <v>250</v>
      </c>
      <c r="C144" s="576"/>
      <c r="D144" s="581" t="s">
        <v>96</v>
      </c>
      <c r="E144" s="582"/>
      <c r="F144" s="583"/>
      <c r="H144" s="101"/>
      <c r="I144" s="534" t="s">
        <v>97</v>
      </c>
      <c r="J144" s="95"/>
    </row>
    <row r="145" spans="1:10" ht="13.5">
      <c r="A145" s="580" t="s">
        <v>98</v>
      </c>
      <c r="B145" s="575">
        <v>250</v>
      </c>
      <c r="C145" s="576"/>
      <c r="D145" s="581" t="s">
        <v>99</v>
      </c>
      <c r="E145" s="582"/>
      <c r="F145" s="583"/>
      <c r="H145" s="101"/>
      <c r="I145" s="102"/>
      <c r="J145" s="95"/>
    </row>
    <row r="146" spans="1:10" ht="14.25" thickBot="1">
      <c r="A146" s="584"/>
      <c r="B146" s="585"/>
      <c r="C146" s="586"/>
      <c r="D146" s="587"/>
      <c r="E146" s="588"/>
      <c r="F146" s="589"/>
      <c r="H146" s="101"/>
      <c r="I146" s="102"/>
      <c r="J146" s="95"/>
    </row>
    <row r="147" spans="1:10" ht="13.5" thickTop="1">
      <c r="A147" s="100"/>
      <c r="B147" s="95"/>
      <c r="C147" s="101"/>
      <c r="D147" s="95"/>
      <c r="E147" s="95"/>
      <c r="F147" s="95"/>
      <c r="H147" s="101"/>
      <c r="I147" s="102"/>
      <c r="J147" s="95"/>
    </row>
    <row r="148" spans="1:10" ht="12.75">
      <c r="A148" s="100"/>
      <c r="B148" s="95"/>
      <c r="C148" s="101"/>
      <c r="H148" s="101"/>
      <c r="I148" s="102"/>
      <c r="J148" s="95"/>
    </row>
    <row r="149" spans="5:16" ht="12.75">
      <c r="E149" s="3"/>
      <c r="F149" s="74"/>
      <c r="G149" s="8"/>
      <c r="H149" s="1"/>
      <c r="M149" s="117" t="s">
        <v>100</v>
      </c>
      <c r="N149" s="8"/>
      <c r="O149" s="8"/>
      <c r="P149" s="8"/>
    </row>
    <row r="150" spans="3:19" ht="12.75">
      <c r="C150" s="14" t="s">
        <v>101</v>
      </c>
      <c r="E150" s="3"/>
      <c r="F150" s="74"/>
      <c r="G150" s="8"/>
      <c r="H150" s="1"/>
      <c r="M150" s="117" t="s">
        <v>102</v>
      </c>
      <c r="N150" s="8"/>
      <c r="O150" s="8"/>
      <c r="P150" s="8"/>
      <c r="Q150" s="103"/>
      <c r="R150" s="103"/>
      <c r="S150" s="103"/>
    </row>
    <row r="151" spans="4:19" ht="12.75">
      <c r="D151" s="114" t="s">
        <v>103</v>
      </c>
      <c r="E151" s="9"/>
      <c r="F151" s="74"/>
      <c r="G151" s="8"/>
      <c r="H151" s="9"/>
      <c r="I151" s="8"/>
      <c r="J151" s="8"/>
      <c r="M151" s="117" t="s">
        <v>104</v>
      </c>
      <c r="N151" s="8"/>
      <c r="O151" s="8"/>
      <c r="P151" s="8"/>
      <c r="Q151" s="103"/>
      <c r="R151" s="103"/>
      <c r="S151" s="103"/>
    </row>
    <row r="152" spans="5:8" ht="12.75">
      <c r="E152" s="3"/>
      <c r="F152" s="74"/>
      <c r="G152" s="8"/>
      <c r="H152" s="1"/>
    </row>
    <row r="154" spans="1:14" ht="13.5">
      <c r="A154" s="7"/>
      <c r="C154" s="106" t="s">
        <v>7</v>
      </c>
      <c r="D154" s="106" t="s">
        <v>8</v>
      </c>
      <c r="E154" s="105" t="s">
        <v>9</v>
      </c>
      <c r="F154" s="106" t="s">
        <v>10</v>
      </c>
      <c r="H154" s="108" t="s">
        <v>105</v>
      </c>
      <c r="J154" s="115" t="s">
        <v>106</v>
      </c>
      <c r="K154" s="8"/>
      <c r="M154" s="118" t="s">
        <v>107</v>
      </c>
      <c r="N154" s="8"/>
    </row>
    <row r="155" spans="1:14" ht="14.25" thickBot="1">
      <c r="A155" s="83" t="s">
        <v>108</v>
      </c>
      <c r="B155" s="120"/>
      <c r="C155" s="121" t="s">
        <v>109</v>
      </c>
      <c r="D155" s="122"/>
      <c r="E155" s="122"/>
      <c r="F155" s="107"/>
      <c r="G155" s="78"/>
      <c r="H155" s="108" t="s">
        <v>110</v>
      </c>
      <c r="J155" s="119" t="s">
        <v>111</v>
      </c>
      <c r="K155" s="119" t="s">
        <v>112</v>
      </c>
      <c r="M155" s="116" t="s">
        <v>113</v>
      </c>
      <c r="N155" s="116" t="s">
        <v>114</v>
      </c>
    </row>
    <row r="156" spans="1:16" ht="14.25" thickTop="1">
      <c r="A156" s="537" t="s">
        <v>115</v>
      </c>
      <c r="B156" s="541"/>
      <c r="C156" s="482">
        <v>100</v>
      </c>
      <c r="D156" s="482"/>
      <c r="E156" s="483"/>
      <c r="F156" s="484"/>
      <c r="G156" s="485"/>
      <c r="H156" s="486"/>
      <c r="I156" s="487"/>
      <c r="J156" s="482"/>
      <c r="K156" s="488"/>
      <c r="L156" s="430"/>
      <c r="M156" s="489">
        <v>1</v>
      </c>
      <c r="N156" s="490"/>
      <c r="O156" s="104">
        <f>+IF((M156)&gt;0,(((C156+H156)*0.005)*M156)+(((D156+H156)*0.01)*M156)+(((E156+H156)*0.015)*M156)+(((F156+H156)*0.02)*M156),0)</f>
        <v>0.5</v>
      </c>
      <c r="P156" s="104">
        <f>+IF((N156)&gt;0,(((C156+H156)*0.01)*N156)+(((D156+H156)*0.02)*N156)+(((E156+H156)*0.03)*N156)+(((F156+H156)*0.04)*N156),0)</f>
        <v>0</v>
      </c>
    </row>
    <row r="157" spans="1:16" ht="13.5">
      <c r="A157" s="538" t="s">
        <v>116</v>
      </c>
      <c r="B157" s="542"/>
      <c r="C157" s="482">
        <v>200</v>
      </c>
      <c r="D157" s="482"/>
      <c r="E157" s="483"/>
      <c r="F157" s="484"/>
      <c r="G157" s="485"/>
      <c r="H157" s="486"/>
      <c r="I157" s="487"/>
      <c r="J157" s="482"/>
      <c r="K157" s="491"/>
      <c r="L157" s="430"/>
      <c r="M157" s="492">
        <v>1</v>
      </c>
      <c r="N157" s="493"/>
      <c r="O157" s="104">
        <f aca="true" t="shared" si="68" ref="O157:O174">+IF((M157)&gt;0,(((C157+H157)*0.005)*M157)+(((D157+H157)*0.01)*M157)+(((E157+H157)*0.015)*M157)+(((F157+H157)*0.02)*M157),0)</f>
        <v>1</v>
      </c>
      <c r="P157" s="104">
        <f aca="true" t="shared" si="69" ref="P157:P174">+IF((N157)&gt;0,(((C157+H157)*0.01)*N157)+(((D157+H157)*0.02)*N157)+(((E157+H157)*0.03)*N157)+(((F157+H157)*0.04)*N157),0)</f>
        <v>0</v>
      </c>
    </row>
    <row r="158" spans="1:16" ht="13.5">
      <c r="A158" s="538" t="s">
        <v>117</v>
      </c>
      <c r="B158" s="542"/>
      <c r="C158" s="482">
        <v>450</v>
      </c>
      <c r="D158" s="482"/>
      <c r="E158" s="483"/>
      <c r="F158" s="484"/>
      <c r="G158" s="485"/>
      <c r="H158" s="486">
        <v>50</v>
      </c>
      <c r="I158" s="487"/>
      <c r="J158" s="482"/>
      <c r="K158" s="491"/>
      <c r="L158" s="430"/>
      <c r="M158" s="492">
        <v>2</v>
      </c>
      <c r="N158" s="493"/>
      <c r="O158" s="104">
        <f t="shared" si="68"/>
        <v>9.5</v>
      </c>
      <c r="P158" s="104">
        <f t="shared" si="69"/>
        <v>0</v>
      </c>
    </row>
    <row r="159" spans="1:16" ht="13.5">
      <c r="A159" s="538" t="s">
        <v>118</v>
      </c>
      <c r="B159" s="542"/>
      <c r="C159" s="482">
        <v>50</v>
      </c>
      <c r="D159" s="482"/>
      <c r="E159" s="483"/>
      <c r="F159" s="484"/>
      <c r="G159" s="485"/>
      <c r="H159" s="486"/>
      <c r="I159" s="487"/>
      <c r="J159" s="482"/>
      <c r="K159" s="491"/>
      <c r="L159" s="430"/>
      <c r="M159" s="492"/>
      <c r="N159" s="493"/>
      <c r="O159" s="104">
        <f t="shared" si="68"/>
        <v>0</v>
      </c>
      <c r="P159" s="104">
        <f t="shared" si="69"/>
        <v>0</v>
      </c>
    </row>
    <row r="160" spans="1:16" ht="13.5">
      <c r="A160" s="538" t="s">
        <v>119</v>
      </c>
      <c r="B160" s="542"/>
      <c r="C160" s="482">
        <v>200</v>
      </c>
      <c r="D160" s="482"/>
      <c r="E160" s="483"/>
      <c r="F160" s="484"/>
      <c r="G160" s="485"/>
      <c r="H160" s="486"/>
      <c r="I160" s="487"/>
      <c r="J160" s="482"/>
      <c r="K160" s="491"/>
      <c r="L160" s="430"/>
      <c r="M160" s="492">
        <v>2</v>
      </c>
      <c r="N160" s="493"/>
      <c r="O160" s="104">
        <f t="shared" si="68"/>
        <v>2</v>
      </c>
      <c r="P160" s="104">
        <f t="shared" si="69"/>
        <v>0</v>
      </c>
    </row>
    <row r="161" spans="1:16" ht="13.5">
      <c r="A161" s="538" t="s">
        <v>120</v>
      </c>
      <c r="B161" s="542"/>
      <c r="C161" s="482"/>
      <c r="D161" s="482">
        <v>1200</v>
      </c>
      <c r="E161" s="483"/>
      <c r="F161" s="484"/>
      <c r="G161" s="485"/>
      <c r="H161" s="486">
        <v>200</v>
      </c>
      <c r="I161" s="487"/>
      <c r="J161" s="482"/>
      <c r="K161" s="491"/>
      <c r="L161" s="430"/>
      <c r="M161" s="492"/>
      <c r="N161" s="493">
        <v>2</v>
      </c>
      <c r="O161" s="104">
        <f t="shared" si="68"/>
        <v>0</v>
      </c>
      <c r="P161" s="104">
        <f t="shared" si="69"/>
        <v>88</v>
      </c>
    </row>
    <row r="162" spans="1:16" ht="13.5">
      <c r="A162" s="538" t="s">
        <v>121</v>
      </c>
      <c r="B162" s="542"/>
      <c r="C162" s="482"/>
      <c r="D162" s="482">
        <v>1100</v>
      </c>
      <c r="E162" s="483"/>
      <c r="F162" s="484"/>
      <c r="G162" s="485"/>
      <c r="H162" s="486">
        <v>140</v>
      </c>
      <c r="I162" s="487"/>
      <c r="J162" s="482"/>
      <c r="K162" s="491"/>
      <c r="L162" s="430"/>
      <c r="M162" s="492">
        <v>1</v>
      </c>
      <c r="N162" s="493">
        <v>1</v>
      </c>
      <c r="O162" s="104">
        <f t="shared" si="68"/>
        <v>18</v>
      </c>
      <c r="P162" s="104">
        <f t="shared" si="69"/>
        <v>36</v>
      </c>
    </row>
    <row r="163" spans="1:16" ht="13.5">
      <c r="A163" s="538"/>
      <c r="B163" s="542"/>
      <c r="C163" s="482"/>
      <c r="D163" s="482"/>
      <c r="E163" s="483"/>
      <c r="F163" s="484"/>
      <c r="G163" s="485"/>
      <c r="H163" s="486"/>
      <c r="I163" s="487"/>
      <c r="J163" s="482"/>
      <c r="K163" s="491"/>
      <c r="L163" s="430"/>
      <c r="M163" s="492"/>
      <c r="N163" s="493"/>
      <c r="O163" s="104">
        <f t="shared" si="68"/>
        <v>0</v>
      </c>
      <c r="P163" s="104">
        <f t="shared" si="69"/>
        <v>0</v>
      </c>
    </row>
    <row r="164" spans="1:16" ht="13.5">
      <c r="A164" s="538" t="s">
        <v>122</v>
      </c>
      <c r="B164" s="542"/>
      <c r="C164" s="482"/>
      <c r="D164" s="482"/>
      <c r="E164" s="483"/>
      <c r="F164" s="484"/>
      <c r="G164" s="485"/>
      <c r="H164" s="486">
        <v>1108</v>
      </c>
      <c r="I164" s="487"/>
      <c r="J164" s="482"/>
      <c r="K164" s="491"/>
      <c r="L164" s="430"/>
      <c r="M164" s="492"/>
      <c r="N164" s="493"/>
      <c r="O164" s="104">
        <f t="shared" si="68"/>
        <v>0</v>
      </c>
      <c r="P164" s="104">
        <f t="shared" si="69"/>
        <v>0</v>
      </c>
    </row>
    <row r="165" spans="1:16" ht="13.5">
      <c r="A165" s="538" t="s">
        <v>123</v>
      </c>
      <c r="B165" s="542"/>
      <c r="C165" s="482"/>
      <c r="D165" s="482"/>
      <c r="E165" s="483"/>
      <c r="F165" s="484"/>
      <c r="G165" s="485"/>
      <c r="H165" s="486"/>
      <c r="I165" s="487"/>
      <c r="J165" s="482">
        <v>250</v>
      </c>
      <c r="K165" s="491" t="s">
        <v>124</v>
      </c>
      <c r="L165" s="430"/>
      <c r="M165" s="492"/>
      <c r="N165" s="493"/>
      <c r="O165" s="104">
        <f t="shared" si="68"/>
        <v>0</v>
      </c>
      <c r="P165" s="104">
        <f t="shared" si="69"/>
        <v>0</v>
      </c>
    </row>
    <row r="166" spans="1:16" ht="13.5">
      <c r="A166" s="538" t="s">
        <v>125</v>
      </c>
      <c r="B166" s="542"/>
      <c r="C166" s="482"/>
      <c r="D166" s="482"/>
      <c r="E166" s="483"/>
      <c r="F166" s="484"/>
      <c r="G166" s="485"/>
      <c r="H166" s="486">
        <v>30</v>
      </c>
      <c r="I166" s="487"/>
      <c r="J166" s="482">
        <v>100</v>
      </c>
      <c r="K166" s="491" t="s">
        <v>83</v>
      </c>
      <c r="L166" s="430"/>
      <c r="M166" s="492"/>
      <c r="N166" s="493"/>
      <c r="O166" s="104">
        <f t="shared" si="68"/>
        <v>0</v>
      </c>
      <c r="P166" s="104">
        <f t="shared" si="69"/>
        <v>0</v>
      </c>
    </row>
    <row r="167" spans="1:16" ht="13.5">
      <c r="A167" s="538" t="s">
        <v>126</v>
      </c>
      <c r="B167" s="542"/>
      <c r="C167" s="482"/>
      <c r="D167" s="482"/>
      <c r="E167" s="483"/>
      <c r="F167" s="484"/>
      <c r="G167" s="485"/>
      <c r="H167" s="486">
        <v>10</v>
      </c>
      <c r="I167" s="487"/>
      <c r="J167" s="482">
        <v>20</v>
      </c>
      <c r="K167" s="491" t="s">
        <v>83</v>
      </c>
      <c r="L167" s="430"/>
      <c r="M167" s="492"/>
      <c r="N167" s="493"/>
      <c r="O167" s="104">
        <f t="shared" si="68"/>
        <v>0</v>
      </c>
      <c r="P167" s="104">
        <f t="shared" si="69"/>
        <v>0</v>
      </c>
    </row>
    <row r="168" spans="1:16" ht="13.5">
      <c r="A168" s="538" t="s">
        <v>127</v>
      </c>
      <c r="B168" s="542"/>
      <c r="C168" s="482"/>
      <c r="D168" s="482"/>
      <c r="E168" s="483"/>
      <c r="F168" s="484"/>
      <c r="G168" s="485"/>
      <c r="H168" s="486">
        <v>15</v>
      </c>
      <c r="I168" s="487"/>
      <c r="J168" s="482">
        <v>50</v>
      </c>
      <c r="K168" s="491" t="s">
        <v>83</v>
      </c>
      <c r="L168" s="430"/>
      <c r="M168" s="492"/>
      <c r="N168" s="493"/>
      <c r="O168" s="104">
        <f t="shared" si="68"/>
        <v>0</v>
      </c>
      <c r="P168" s="104">
        <f t="shared" si="69"/>
        <v>0</v>
      </c>
    </row>
    <row r="169" spans="1:16" ht="13.5">
      <c r="A169" s="538"/>
      <c r="B169" s="542"/>
      <c r="C169" s="482"/>
      <c r="D169" s="482"/>
      <c r="E169" s="483"/>
      <c r="F169" s="484"/>
      <c r="G169" s="485"/>
      <c r="H169" s="486"/>
      <c r="I169" s="487"/>
      <c r="J169" s="482"/>
      <c r="K169" s="491"/>
      <c r="L169" s="430"/>
      <c r="M169" s="492"/>
      <c r="N169" s="493"/>
      <c r="O169" s="104">
        <f t="shared" si="68"/>
        <v>0</v>
      </c>
      <c r="P169" s="104">
        <f t="shared" si="69"/>
        <v>0</v>
      </c>
    </row>
    <row r="170" spans="1:16" ht="13.5">
      <c r="A170" s="538"/>
      <c r="B170" s="542"/>
      <c r="C170" s="482"/>
      <c r="D170" s="482"/>
      <c r="E170" s="483"/>
      <c r="F170" s="484"/>
      <c r="G170" s="485"/>
      <c r="H170" s="486"/>
      <c r="I170" s="487"/>
      <c r="J170" s="482"/>
      <c r="K170" s="491"/>
      <c r="L170" s="430"/>
      <c r="M170" s="492"/>
      <c r="N170" s="493"/>
      <c r="O170" s="104">
        <f t="shared" si="68"/>
        <v>0</v>
      </c>
      <c r="P170" s="104">
        <f t="shared" si="69"/>
        <v>0</v>
      </c>
    </row>
    <row r="171" spans="1:16" ht="13.5">
      <c r="A171" s="538"/>
      <c r="B171" s="542"/>
      <c r="C171" s="482"/>
      <c r="D171" s="482"/>
      <c r="E171" s="483"/>
      <c r="F171" s="484"/>
      <c r="G171" s="485"/>
      <c r="H171" s="486"/>
      <c r="I171" s="487"/>
      <c r="J171" s="482"/>
      <c r="K171" s="491"/>
      <c r="L171" s="430"/>
      <c r="M171" s="492"/>
      <c r="N171" s="493"/>
      <c r="O171" s="104">
        <f t="shared" si="68"/>
        <v>0</v>
      </c>
      <c r="P171" s="104">
        <f t="shared" si="69"/>
        <v>0</v>
      </c>
    </row>
    <row r="172" spans="1:16" ht="13.5">
      <c r="A172" s="538"/>
      <c r="B172" s="542"/>
      <c r="C172" s="482"/>
      <c r="D172" s="482"/>
      <c r="E172" s="483"/>
      <c r="F172" s="484"/>
      <c r="G172" s="485"/>
      <c r="H172" s="486"/>
      <c r="I172" s="487"/>
      <c r="J172" s="482"/>
      <c r="K172" s="491"/>
      <c r="L172" s="430"/>
      <c r="M172" s="492"/>
      <c r="N172" s="493"/>
      <c r="O172" s="104">
        <f t="shared" si="68"/>
        <v>0</v>
      </c>
      <c r="P172" s="104">
        <f t="shared" si="69"/>
        <v>0</v>
      </c>
    </row>
    <row r="173" spans="1:16" ht="13.5">
      <c r="A173" s="538"/>
      <c r="B173" s="542"/>
      <c r="C173" s="482"/>
      <c r="D173" s="482"/>
      <c r="E173" s="483"/>
      <c r="F173" s="484"/>
      <c r="G173" s="485"/>
      <c r="H173" s="486"/>
      <c r="I173" s="487"/>
      <c r="J173" s="482"/>
      <c r="K173" s="491"/>
      <c r="L173" s="430"/>
      <c r="M173" s="492"/>
      <c r="N173" s="493"/>
      <c r="O173" s="104">
        <f t="shared" si="68"/>
        <v>0</v>
      </c>
      <c r="P173" s="104">
        <f t="shared" si="69"/>
        <v>0</v>
      </c>
    </row>
    <row r="174" spans="1:16" ht="13.5">
      <c r="A174" s="538"/>
      <c r="B174" s="542"/>
      <c r="C174" s="482"/>
      <c r="D174" s="482"/>
      <c r="E174" s="483"/>
      <c r="F174" s="484"/>
      <c r="G174" s="485"/>
      <c r="H174" s="486"/>
      <c r="I174" s="487"/>
      <c r="J174" s="482"/>
      <c r="K174" s="491"/>
      <c r="L174" s="430"/>
      <c r="M174" s="492"/>
      <c r="N174" s="493"/>
      <c r="O174" s="104">
        <f t="shared" si="68"/>
        <v>0</v>
      </c>
      <c r="P174" s="104">
        <f t="shared" si="69"/>
        <v>0</v>
      </c>
    </row>
    <row r="175" spans="1:16" ht="13.5">
      <c r="A175" s="538"/>
      <c r="B175" s="542"/>
      <c r="C175" s="482"/>
      <c r="D175" s="482"/>
      <c r="E175" s="483"/>
      <c r="F175" s="484"/>
      <c r="G175" s="485"/>
      <c r="H175" s="486"/>
      <c r="I175" s="487"/>
      <c r="J175" s="482"/>
      <c r="K175" s="491"/>
      <c r="L175" s="430"/>
      <c r="M175" s="492"/>
      <c r="N175" s="493"/>
      <c r="O175" s="104">
        <f>+IF((M175)&gt;0,(((C175+H175)*0.005)*M175)+(((D175+H175)*0.01)*M175)+(((E175+H175)*0.015)*M175)+(((F175+H175)*0.02)*M175),0)</f>
        <v>0</v>
      </c>
      <c r="P175" s="104">
        <f>+IF((N175)&gt;0,(((C175+H175)*0.01)*N175)+(((D175+H175)*0.02)*N175)+(((E175+H175)*0.03)*N175)+(((F175+H175)*0.04)*N175),0)</f>
        <v>0</v>
      </c>
    </row>
    <row r="176" spans="1:18" ht="13.5">
      <c r="A176" s="7" t="s">
        <v>128</v>
      </c>
      <c r="B176" s="540"/>
      <c r="C176" s="485"/>
      <c r="D176" s="485"/>
      <c r="E176" s="494"/>
      <c r="F176" s="494"/>
      <c r="G176" s="485"/>
      <c r="H176" s="485"/>
      <c r="I176" s="487"/>
      <c r="J176" s="485"/>
      <c r="K176" s="495"/>
      <c r="L176" s="430"/>
      <c r="M176" s="496"/>
      <c r="N176" s="497"/>
      <c r="Q176" s="135" t="s">
        <v>129</v>
      </c>
      <c r="R176" s="9"/>
    </row>
    <row r="177" spans="1:17" ht="13.5">
      <c r="A177" s="538" t="s">
        <v>130</v>
      </c>
      <c r="B177" s="542"/>
      <c r="C177" s="498">
        <v>80</v>
      </c>
      <c r="D177" s="498"/>
      <c r="E177" s="498"/>
      <c r="F177" s="499"/>
      <c r="G177" s="485"/>
      <c r="H177" s="486"/>
      <c r="I177" s="487"/>
      <c r="J177" s="482"/>
      <c r="K177" s="491"/>
      <c r="L177" s="430"/>
      <c r="M177" s="492">
        <v>2</v>
      </c>
      <c r="N177" s="493"/>
      <c r="O177" s="104">
        <f aca="true" t="shared" si="70" ref="O177:O188">+IF((M177)&gt;0,(((C177+H177)*0.005)*M177)+(((D177+H177)*0.01)*M177)+(((E177+H177)*0.015)*M177)+(((F177+H177)*0.02)*M177),0)</f>
        <v>0.8</v>
      </c>
      <c r="P177" s="104">
        <f aca="true" t="shared" si="71" ref="P177:P188">+IF((N177)&gt;0,(((C177+H177)*0.01)*N177)+(((D177+H177)*0.02)*N177)+(((E177+H177)*0.03)*N177)+(((F177+H177)*0.04)*N177),0)</f>
        <v>0</v>
      </c>
      <c r="Q177" s="88">
        <f>+IF((SUM(D177:F177))&gt;0,(SUM(O177:P177))*2,0)</f>
        <v>0</v>
      </c>
    </row>
    <row r="178" spans="1:17" ht="13.5">
      <c r="A178" s="538" t="s">
        <v>131</v>
      </c>
      <c r="B178" s="542"/>
      <c r="C178" s="498">
        <v>100</v>
      </c>
      <c r="D178" s="498"/>
      <c r="E178" s="498"/>
      <c r="F178" s="499"/>
      <c r="G178" s="485"/>
      <c r="H178" s="486"/>
      <c r="I178" s="487"/>
      <c r="J178" s="482"/>
      <c r="K178" s="491"/>
      <c r="L178" s="430"/>
      <c r="M178" s="492"/>
      <c r="N178" s="493">
        <v>2</v>
      </c>
      <c r="O178" s="104">
        <f t="shared" si="70"/>
        <v>0</v>
      </c>
      <c r="P178" s="104">
        <f t="shared" si="71"/>
        <v>2</v>
      </c>
      <c r="Q178" s="88">
        <f>+IF((SUM(D178:F178))&gt;0,(SUM(O178:P178))*2,0)</f>
        <v>0</v>
      </c>
    </row>
    <row r="179" spans="1:17" ht="13.5">
      <c r="A179" s="538" t="s">
        <v>132</v>
      </c>
      <c r="B179" s="542"/>
      <c r="C179" s="498"/>
      <c r="D179" s="498"/>
      <c r="E179" s="498">
        <v>5500</v>
      </c>
      <c r="F179" s="499"/>
      <c r="G179" s="485"/>
      <c r="H179" s="486">
        <v>950</v>
      </c>
      <c r="I179" s="487"/>
      <c r="J179" s="482">
        <v>125</v>
      </c>
      <c r="K179" s="491" t="s">
        <v>124</v>
      </c>
      <c r="L179" s="430"/>
      <c r="M179" s="492"/>
      <c r="N179" s="493">
        <v>3</v>
      </c>
      <c r="O179" s="104">
        <f t="shared" si="70"/>
        <v>0</v>
      </c>
      <c r="P179" s="104">
        <f t="shared" si="71"/>
        <v>780</v>
      </c>
      <c r="Q179" s="88">
        <f>+IF((SUM(D179:F179))&gt;0,(SUM(O179:P179))*2,0)</f>
        <v>1560</v>
      </c>
    </row>
    <row r="180" spans="1:17" ht="13.5">
      <c r="A180" s="538" t="s">
        <v>133</v>
      </c>
      <c r="B180" s="542"/>
      <c r="C180" s="498">
        <v>20</v>
      </c>
      <c r="D180" s="498"/>
      <c r="E180" s="498"/>
      <c r="F180" s="499"/>
      <c r="G180" s="485"/>
      <c r="H180" s="486">
        <v>40</v>
      </c>
      <c r="I180" s="487"/>
      <c r="J180" s="482">
        <v>350</v>
      </c>
      <c r="K180" s="491" t="s">
        <v>134</v>
      </c>
      <c r="L180" s="430"/>
      <c r="M180" s="492"/>
      <c r="N180" s="493"/>
      <c r="O180" s="104">
        <f t="shared" si="70"/>
        <v>0</v>
      </c>
      <c r="P180" s="104">
        <f t="shared" si="71"/>
        <v>0</v>
      </c>
      <c r="Q180" s="88">
        <f>+IF((SUM(D180:F180))&gt;0,(SUM(O180:P180))*2,0)</f>
        <v>0</v>
      </c>
    </row>
    <row r="181" spans="1:17" ht="13.5">
      <c r="A181" s="538" t="s">
        <v>135</v>
      </c>
      <c r="B181" s="542"/>
      <c r="C181" s="498"/>
      <c r="D181" s="498"/>
      <c r="E181" s="498"/>
      <c r="F181" s="499"/>
      <c r="G181" s="485"/>
      <c r="H181" s="486"/>
      <c r="I181" s="487"/>
      <c r="J181" s="482"/>
      <c r="K181" s="491"/>
      <c r="L181" s="430"/>
      <c r="M181" s="492"/>
      <c r="N181" s="493"/>
      <c r="O181" s="104">
        <f t="shared" si="70"/>
        <v>0</v>
      </c>
      <c r="P181" s="104">
        <f t="shared" si="71"/>
        <v>0</v>
      </c>
      <c r="Q181" s="88">
        <f aca="true" t="shared" si="72" ref="Q181:Q188">+IF((SUM(D181:F181))&gt;0,(SUM(O181:P181))*2,0)</f>
        <v>0</v>
      </c>
    </row>
    <row r="182" spans="1:17" ht="13.5">
      <c r="A182" s="538"/>
      <c r="B182" s="542"/>
      <c r="C182" s="498"/>
      <c r="D182" s="498"/>
      <c r="E182" s="498"/>
      <c r="F182" s="499"/>
      <c r="G182" s="485"/>
      <c r="H182" s="486"/>
      <c r="I182" s="487"/>
      <c r="J182" s="482"/>
      <c r="K182" s="491"/>
      <c r="L182" s="430"/>
      <c r="M182" s="492"/>
      <c r="N182" s="493"/>
      <c r="O182" s="104">
        <f t="shared" si="70"/>
        <v>0</v>
      </c>
      <c r="P182" s="104">
        <f t="shared" si="71"/>
        <v>0</v>
      </c>
      <c r="Q182" s="88">
        <f t="shared" si="72"/>
        <v>0</v>
      </c>
    </row>
    <row r="183" spans="1:17" ht="13.5">
      <c r="A183" s="538"/>
      <c r="B183" s="542"/>
      <c r="C183" s="498"/>
      <c r="D183" s="498"/>
      <c r="E183" s="498"/>
      <c r="F183" s="499"/>
      <c r="G183" s="485"/>
      <c r="H183" s="486"/>
      <c r="I183" s="487"/>
      <c r="J183" s="482"/>
      <c r="K183" s="491"/>
      <c r="L183" s="430"/>
      <c r="M183" s="492"/>
      <c r="N183" s="493"/>
      <c r="O183" s="104">
        <f t="shared" si="70"/>
        <v>0</v>
      </c>
      <c r="P183" s="104">
        <f t="shared" si="71"/>
        <v>0</v>
      </c>
      <c r="Q183" s="88">
        <f t="shared" si="72"/>
        <v>0</v>
      </c>
    </row>
    <row r="184" spans="1:17" ht="13.5">
      <c r="A184" s="538"/>
      <c r="B184" s="542"/>
      <c r="C184" s="498"/>
      <c r="D184" s="498"/>
      <c r="E184" s="498"/>
      <c r="F184" s="499"/>
      <c r="G184" s="485"/>
      <c r="H184" s="486"/>
      <c r="I184" s="487"/>
      <c r="J184" s="482"/>
      <c r="K184" s="491"/>
      <c r="L184" s="430"/>
      <c r="M184" s="492"/>
      <c r="N184" s="493"/>
      <c r="O184" s="104">
        <f t="shared" si="70"/>
        <v>0</v>
      </c>
      <c r="P184" s="104">
        <f t="shared" si="71"/>
        <v>0</v>
      </c>
      <c r="Q184" s="88">
        <f t="shared" si="72"/>
        <v>0</v>
      </c>
    </row>
    <row r="185" spans="1:17" ht="13.5">
      <c r="A185" s="538"/>
      <c r="B185" s="542"/>
      <c r="C185" s="498"/>
      <c r="D185" s="498"/>
      <c r="E185" s="498"/>
      <c r="F185" s="499"/>
      <c r="G185" s="485"/>
      <c r="H185" s="486"/>
      <c r="I185" s="487"/>
      <c r="J185" s="482"/>
      <c r="K185" s="491"/>
      <c r="L185" s="430"/>
      <c r="M185" s="492"/>
      <c r="N185" s="493"/>
      <c r="O185" s="104">
        <f t="shared" si="70"/>
        <v>0</v>
      </c>
      <c r="P185" s="104">
        <f t="shared" si="71"/>
        <v>0</v>
      </c>
      <c r="Q185" s="88">
        <f t="shared" si="72"/>
        <v>0</v>
      </c>
    </row>
    <row r="186" spans="1:17" ht="13.5">
      <c r="A186" s="538"/>
      <c r="B186" s="542"/>
      <c r="C186" s="498"/>
      <c r="D186" s="498"/>
      <c r="E186" s="498"/>
      <c r="F186" s="499"/>
      <c r="G186" s="485"/>
      <c r="H186" s="486"/>
      <c r="I186" s="487"/>
      <c r="J186" s="482"/>
      <c r="K186" s="491"/>
      <c r="L186" s="430"/>
      <c r="M186" s="492"/>
      <c r="N186" s="493"/>
      <c r="O186" s="104">
        <f t="shared" si="70"/>
        <v>0</v>
      </c>
      <c r="P186" s="104">
        <f t="shared" si="71"/>
        <v>0</v>
      </c>
      <c r="Q186" s="88">
        <f t="shared" si="72"/>
        <v>0</v>
      </c>
    </row>
    <row r="187" spans="1:17" ht="13.5">
      <c r="A187" s="538"/>
      <c r="B187" s="542"/>
      <c r="C187" s="498"/>
      <c r="D187" s="498"/>
      <c r="E187" s="498"/>
      <c r="F187" s="499"/>
      <c r="G187" s="485"/>
      <c r="H187" s="486"/>
      <c r="I187" s="487"/>
      <c r="J187" s="482"/>
      <c r="K187" s="491"/>
      <c r="L187" s="430"/>
      <c r="M187" s="492"/>
      <c r="N187" s="493"/>
      <c r="O187" s="104">
        <f t="shared" si="70"/>
        <v>0</v>
      </c>
      <c r="P187" s="104">
        <f t="shared" si="71"/>
        <v>0</v>
      </c>
      <c r="Q187" s="88">
        <f t="shared" si="72"/>
        <v>0</v>
      </c>
    </row>
    <row r="188" spans="1:17" ht="14.25" thickBot="1">
      <c r="A188" s="539"/>
      <c r="B188" s="543"/>
      <c r="C188" s="498"/>
      <c r="D188" s="498"/>
      <c r="E188" s="498"/>
      <c r="F188" s="499"/>
      <c r="G188" s="485"/>
      <c r="H188" s="486"/>
      <c r="I188" s="487"/>
      <c r="J188" s="482"/>
      <c r="K188" s="491"/>
      <c r="L188" s="430"/>
      <c r="M188" s="492"/>
      <c r="N188" s="493"/>
      <c r="O188" s="104">
        <f t="shared" si="70"/>
        <v>0</v>
      </c>
      <c r="P188" s="104">
        <f t="shared" si="71"/>
        <v>0</v>
      </c>
      <c r="Q188" s="88">
        <f t="shared" si="72"/>
        <v>0</v>
      </c>
    </row>
    <row r="189" spans="3:11" ht="14.25" thickBot="1" thickTop="1">
      <c r="C189" s="110"/>
      <c r="D189" s="110"/>
      <c r="E189" s="110"/>
      <c r="F189" s="110"/>
      <c r="G189" s="111"/>
      <c r="H189" s="112"/>
      <c r="I189" s="109"/>
      <c r="J189" s="113"/>
      <c r="K189" s="109"/>
    </row>
    <row r="190" spans="1:22" ht="13.5">
      <c r="A190" s="123"/>
      <c r="B190" s="124" t="s">
        <v>136</v>
      </c>
      <c r="C190" s="247">
        <f>SUM(C156:C189)</f>
        <v>1200</v>
      </c>
      <c r="D190" s="247">
        <f>SUM(D156:D189)</f>
        <v>2300</v>
      </c>
      <c r="E190" s="247">
        <f>SUM(E156:E189)</f>
        <v>5500</v>
      </c>
      <c r="F190" s="247">
        <f>SUM(F156:F189)</f>
        <v>0</v>
      </c>
      <c r="G190" s="248"/>
      <c r="H190" s="249">
        <f>SUM(H156:H189)</f>
        <v>2543</v>
      </c>
      <c r="I190" s="270"/>
      <c r="J190" s="250">
        <f>SUM(J156:J189)</f>
        <v>895</v>
      </c>
      <c r="K190" s="251"/>
      <c r="L190" s="125"/>
      <c r="M190" s="137" t="s">
        <v>137</v>
      </c>
      <c r="N190" s="126"/>
      <c r="P190" s="87" t="s">
        <v>138</v>
      </c>
      <c r="Q190" s="87"/>
      <c r="R190" s="87"/>
      <c r="S190" s="87"/>
      <c r="T190" s="87">
        <f>IF(($B$195)="Y",(SUM(C177:C188)*0.7),IF(($B$196)="Y",(SUM(C177:C188)*0.8),(SUM(C177:C188)*0.6)))</f>
        <v>160</v>
      </c>
      <c r="U190" s="87" t="s">
        <v>53</v>
      </c>
      <c r="V190" s="84"/>
    </row>
    <row r="191" spans="1:22" ht="14.25" thickBot="1">
      <c r="A191" s="127"/>
      <c r="B191" s="128" t="s">
        <v>139</v>
      </c>
      <c r="C191" s="252">
        <f>+(C190)*P6</f>
        <v>120</v>
      </c>
      <c r="D191" s="252">
        <f>+(D190)*Q6</f>
        <v>690</v>
      </c>
      <c r="E191" s="252">
        <f>+(E190)*R6</f>
        <v>2200</v>
      </c>
      <c r="F191" s="252">
        <f>+(F190)*S6</f>
        <v>0</v>
      </c>
      <c r="G191" s="129"/>
      <c r="H191" s="130" t="s">
        <v>140</v>
      </c>
      <c r="I191" s="131"/>
      <c r="J191" s="130" t="s">
        <v>140</v>
      </c>
      <c r="K191" s="132"/>
      <c r="L191" s="133"/>
      <c r="M191" s="136">
        <f>SUM(O156:O188)</f>
        <v>31.8</v>
      </c>
      <c r="N191" s="134">
        <f>SUM(P156:P188)</f>
        <v>906</v>
      </c>
      <c r="P191" s="87" t="s">
        <v>141</v>
      </c>
      <c r="Q191" s="87"/>
      <c r="R191" s="87"/>
      <c r="S191" s="87"/>
      <c r="T191" s="87">
        <f>IF(($B$195)="Y",(SUM(D177:D188)*0.5),IF(($B$196)="Y",(SUM(D177:D188)*0.6),(SUM(D177:D188)*0.4)))</f>
        <v>0</v>
      </c>
      <c r="U191" s="87" t="s">
        <v>53</v>
      </c>
      <c r="V191" s="84"/>
    </row>
    <row r="192" spans="1:22" ht="12.75">
      <c r="A192" s="82"/>
      <c r="B192" s="80"/>
      <c r="C192" s="81"/>
      <c r="D192" s="84"/>
      <c r="E192" s="81"/>
      <c r="F192" s="81"/>
      <c r="G192" s="84"/>
      <c r="H192" s="84"/>
      <c r="K192" s="4"/>
      <c r="L192" s="85"/>
      <c r="M192" s="137" t="s">
        <v>142</v>
      </c>
      <c r="N192" s="126"/>
      <c r="P192" s="87" t="s">
        <v>143</v>
      </c>
      <c r="Q192" s="87"/>
      <c r="R192" s="87"/>
      <c r="S192" s="87"/>
      <c r="T192" s="87">
        <f>IF(($B$195)="Y",(SUM(E177:E188)*0.3),IF(($B$196)="Y",(SUM(E177:E188)*0.4),(SUM(E177:E188)*0.2)))</f>
        <v>2200</v>
      </c>
      <c r="U192" s="87" t="s">
        <v>53</v>
      </c>
      <c r="V192" s="84"/>
    </row>
    <row r="193" spans="1:21" ht="13.5" thickBot="1">
      <c r="A193" s="75" t="s">
        <v>144</v>
      </c>
      <c r="B193" s="80"/>
      <c r="C193" s="81"/>
      <c r="D193" s="84"/>
      <c r="E193" s="81"/>
      <c r="F193" s="84"/>
      <c r="G193" s="81"/>
      <c r="H193" s="84"/>
      <c r="I193" s="81"/>
      <c r="J193" s="84"/>
      <c r="K193" s="4"/>
      <c r="L193" s="85"/>
      <c r="M193" s="136">
        <f>SUM(Q177:Q188)</f>
        <v>1560</v>
      </c>
      <c r="N193" s="134" t="s">
        <v>55</v>
      </c>
      <c r="P193" s="87" t="s">
        <v>145</v>
      </c>
      <c r="Q193" s="88"/>
      <c r="R193" s="88"/>
      <c r="S193" s="88"/>
      <c r="T193" s="87">
        <f>IF(($B$195)="Y",(SUM(F177:F188)*0.2),IF(($B$196)="Y",(SUM(F177:F188)*0.3),(SUM(F177:F188)*0.1)))</f>
        <v>0</v>
      </c>
      <c r="U193" s="87" t="s">
        <v>53</v>
      </c>
    </row>
    <row r="194" spans="1:14" ht="12.75">
      <c r="A194" s="86" t="s">
        <v>146</v>
      </c>
      <c r="B194" s="500"/>
      <c r="C194" s="81"/>
      <c r="K194" s="4"/>
      <c r="L194" s="85"/>
      <c r="M194" s="79"/>
      <c r="N194" s="85"/>
    </row>
    <row r="195" spans="1:27" ht="12.75">
      <c r="A195" s="86" t="s">
        <v>147</v>
      </c>
      <c r="B195" s="500"/>
      <c r="C195" s="81"/>
      <c r="H195" s="271" t="s">
        <v>148</v>
      </c>
      <c r="I195" s="271"/>
      <c r="J195" s="271"/>
      <c r="K195" s="272"/>
      <c r="L195" s="85"/>
      <c r="M195" s="272" t="s">
        <v>149</v>
      </c>
      <c r="N195" s="321"/>
      <c r="O195" s="88">
        <f>+IF((B26)="Y",(B$15),0)</f>
        <v>0</v>
      </c>
      <c r="P195" s="88">
        <f aca="true" t="shared" si="73" ref="P195:X198">+IF((C26)="Y",(C$15),0)</f>
        <v>0</v>
      </c>
      <c r="Q195" s="88">
        <f t="shared" si="73"/>
        <v>0</v>
      </c>
      <c r="R195" s="88">
        <f t="shared" si="73"/>
        <v>0</v>
      </c>
      <c r="S195" s="88">
        <f t="shared" si="73"/>
        <v>0</v>
      </c>
      <c r="T195" s="88">
        <f t="shared" si="73"/>
        <v>0</v>
      </c>
      <c r="U195" s="88">
        <f t="shared" si="73"/>
        <v>0</v>
      </c>
      <c r="V195" s="88">
        <f t="shared" si="73"/>
        <v>0</v>
      </c>
      <c r="W195" s="88">
        <f t="shared" si="73"/>
        <v>0</v>
      </c>
      <c r="X195" s="88">
        <f t="shared" si="73"/>
        <v>0</v>
      </c>
      <c r="Y195" s="88">
        <f>SUM(O195:X195)</f>
        <v>0</v>
      </c>
      <c r="Z195" s="88" t="s">
        <v>150</v>
      </c>
      <c r="AA195" s="88"/>
    </row>
    <row r="196" spans="1:27" ht="12.75">
      <c r="A196" s="86" t="s">
        <v>151</v>
      </c>
      <c r="B196" s="500" t="s">
        <v>15</v>
      </c>
      <c r="C196" s="81"/>
      <c r="H196" s="271" t="s">
        <v>152</v>
      </c>
      <c r="I196" s="271"/>
      <c r="J196" s="271"/>
      <c r="K196" s="272"/>
      <c r="L196" s="85"/>
      <c r="M196" s="272" t="s">
        <v>153</v>
      </c>
      <c r="N196" s="321"/>
      <c r="O196" s="88">
        <f>+IF((B27)="Y",(B$15),0)</f>
        <v>0</v>
      </c>
      <c r="P196" s="88">
        <f t="shared" si="73"/>
        <v>0</v>
      </c>
      <c r="Q196" s="88">
        <f t="shared" si="73"/>
        <v>0</v>
      </c>
      <c r="R196" s="88">
        <f t="shared" si="73"/>
        <v>12</v>
      </c>
      <c r="S196" s="88">
        <f t="shared" si="73"/>
        <v>6</v>
      </c>
      <c r="T196" s="88">
        <f t="shared" si="73"/>
        <v>0</v>
      </c>
      <c r="U196" s="88">
        <f t="shared" si="73"/>
        <v>0</v>
      </c>
      <c r="V196" s="88">
        <f t="shared" si="73"/>
        <v>0</v>
      </c>
      <c r="W196" s="88">
        <f t="shared" si="73"/>
        <v>0</v>
      </c>
      <c r="X196" s="88">
        <f t="shared" si="73"/>
        <v>0</v>
      </c>
      <c r="Y196" s="88">
        <f>SUM(O196:X196)</f>
        <v>18</v>
      </c>
      <c r="Z196" s="88" t="s">
        <v>154</v>
      </c>
      <c r="AA196" s="88"/>
    </row>
    <row r="197" spans="8:27" ht="12.75">
      <c r="H197" s="271" t="s">
        <v>155</v>
      </c>
      <c r="I197" s="271"/>
      <c r="J197" s="271"/>
      <c r="K197" s="271"/>
      <c r="M197" s="271" t="s">
        <v>156</v>
      </c>
      <c r="N197" s="8"/>
      <c r="O197" s="88">
        <f>+IF((B28)="Y",(B$15),0)</f>
        <v>20</v>
      </c>
      <c r="P197" s="88">
        <f t="shared" si="73"/>
        <v>16</v>
      </c>
      <c r="Q197" s="88">
        <f t="shared" si="73"/>
        <v>16</v>
      </c>
      <c r="R197" s="88">
        <f t="shared" si="73"/>
        <v>0</v>
      </c>
      <c r="S197" s="88">
        <f t="shared" si="73"/>
        <v>0</v>
      </c>
      <c r="T197" s="88">
        <f t="shared" si="73"/>
        <v>4</v>
      </c>
      <c r="U197" s="88">
        <f t="shared" si="73"/>
        <v>0</v>
      </c>
      <c r="V197" s="88">
        <f t="shared" si="73"/>
        <v>0</v>
      </c>
      <c r="W197" s="88">
        <f t="shared" si="73"/>
        <v>0</v>
      </c>
      <c r="X197" s="88">
        <f t="shared" si="73"/>
        <v>0</v>
      </c>
      <c r="Y197" s="88">
        <f>SUM(O197:X197)</f>
        <v>56</v>
      </c>
      <c r="Z197" s="88" t="s">
        <v>157</v>
      </c>
      <c r="AA197" s="88"/>
    </row>
    <row r="198" spans="4:27" ht="12.75">
      <c r="D198" s="87"/>
      <c r="E198" s="88"/>
      <c r="F198" s="88"/>
      <c r="G198" s="88"/>
      <c r="H198" s="272" t="s">
        <v>158</v>
      </c>
      <c r="I198" s="272"/>
      <c r="J198" s="271"/>
      <c r="K198" s="271"/>
      <c r="M198" s="322">
        <f>Armies!E101</f>
        <v>2543</v>
      </c>
      <c r="N198" s="276"/>
      <c r="O198" s="88">
        <f>+IF((B29)="Y",(B$15),0)</f>
        <v>0</v>
      </c>
      <c r="P198" s="88">
        <f t="shared" si="73"/>
        <v>0</v>
      </c>
      <c r="Q198" s="88">
        <f t="shared" si="73"/>
        <v>0</v>
      </c>
      <c r="R198" s="88">
        <f t="shared" si="73"/>
        <v>0</v>
      </c>
      <c r="S198" s="88">
        <f t="shared" si="73"/>
        <v>0</v>
      </c>
      <c r="T198" s="88">
        <f t="shared" si="73"/>
        <v>0</v>
      </c>
      <c r="U198" s="88">
        <f t="shared" si="73"/>
        <v>0</v>
      </c>
      <c r="V198" s="88">
        <f t="shared" si="73"/>
        <v>0</v>
      </c>
      <c r="W198" s="88">
        <f t="shared" si="73"/>
        <v>0</v>
      </c>
      <c r="X198" s="88">
        <f t="shared" si="73"/>
        <v>0</v>
      </c>
      <c r="Y198" s="88">
        <f>SUM(O198:X198)</f>
        <v>0</v>
      </c>
      <c r="Z198" s="88" t="s">
        <v>159</v>
      </c>
      <c r="AA198" s="88"/>
    </row>
    <row r="199" spans="4:27" ht="13.5" thickBot="1">
      <c r="D199" s="87"/>
      <c r="E199" s="88"/>
      <c r="F199" s="88"/>
      <c r="G199" s="88"/>
      <c r="H199" s="87"/>
      <c r="I199" s="87"/>
      <c r="O199" s="88"/>
      <c r="P199" s="88"/>
      <c r="Q199" s="88"/>
      <c r="R199" s="88"/>
      <c r="S199" s="88"/>
      <c r="T199" s="88"/>
      <c r="U199" s="88"/>
      <c r="V199" s="88"/>
      <c r="W199" s="88"/>
      <c r="X199" s="88"/>
      <c r="Y199" s="88"/>
      <c r="Z199" s="88"/>
      <c r="AA199" s="88"/>
    </row>
    <row r="200" spans="1:27" ht="18.75" thickTop="1">
      <c r="A200" s="164" t="s">
        <v>160</v>
      </c>
      <c r="B200" s="165"/>
      <c r="C200" s="165"/>
      <c r="D200" s="166"/>
      <c r="E200" s="165"/>
      <c r="F200" s="165"/>
      <c r="G200" s="165"/>
      <c r="H200" s="165"/>
      <c r="I200" s="165"/>
      <c r="J200" s="165"/>
      <c r="K200" s="165"/>
      <c r="L200" s="165"/>
      <c r="M200" s="167"/>
      <c r="O200" s="88">
        <f>+IF((B48)="Y",(B$37),0)</f>
        <v>0</v>
      </c>
      <c r="P200" s="88">
        <f aca="true" t="shared" si="74" ref="P200:X203">+IF((C48)="Y",(C$37),0)</f>
        <v>0</v>
      </c>
      <c r="Q200" s="88">
        <f t="shared" si="74"/>
        <v>0</v>
      </c>
      <c r="R200" s="88">
        <f t="shared" si="74"/>
        <v>0</v>
      </c>
      <c r="S200" s="88">
        <f t="shared" si="74"/>
        <v>0</v>
      </c>
      <c r="T200" s="88">
        <f t="shared" si="74"/>
        <v>0</v>
      </c>
      <c r="U200" s="88">
        <f t="shared" si="74"/>
        <v>0</v>
      </c>
      <c r="V200" s="88">
        <f t="shared" si="74"/>
        <v>0</v>
      </c>
      <c r="W200" s="88">
        <f t="shared" si="74"/>
        <v>0</v>
      </c>
      <c r="X200" s="88">
        <f t="shared" si="74"/>
        <v>0</v>
      </c>
      <c r="Y200" s="88">
        <f>SUM(O200:X200)</f>
        <v>0</v>
      </c>
      <c r="Z200" s="88" t="s">
        <v>161</v>
      </c>
      <c r="AA200" s="88"/>
    </row>
    <row r="201" spans="1:27" ht="12.75">
      <c r="A201" s="168"/>
      <c r="B201" s="95"/>
      <c r="C201" s="95"/>
      <c r="D201" s="169"/>
      <c r="E201" s="170" t="s">
        <v>162</v>
      </c>
      <c r="F201" s="171">
        <f>+F108</f>
        <v>38200</v>
      </c>
      <c r="G201" s="172"/>
      <c r="H201" s="173" t="s">
        <v>163</v>
      </c>
      <c r="I201" s="95"/>
      <c r="J201" s="549">
        <f>+(F201)/(F209)</f>
        <v>0.7543741853943678</v>
      </c>
      <c r="K201" s="173" t="s">
        <v>164</v>
      </c>
      <c r="L201" s="95"/>
      <c r="M201" s="174"/>
      <c r="O201" s="88">
        <f>+IF((B49)="Y",(B$37),0)</f>
        <v>0</v>
      </c>
      <c r="P201" s="88">
        <f t="shared" si="74"/>
        <v>0</v>
      </c>
      <c r="Q201" s="88">
        <f t="shared" si="74"/>
        <v>0</v>
      </c>
      <c r="R201" s="88">
        <f t="shared" si="74"/>
        <v>0</v>
      </c>
      <c r="S201" s="88">
        <f t="shared" si="74"/>
        <v>0</v>
      </c>
      <c r="T201" s="88">
        <f t="shared" si="74"/>
        <v>0</v>
      </c>
      <c r="U201" s="88">
        <f t="shared" si="74"/>
        <v>0</v>
      </c>
      <c r="V201" s="88">
        <f t="shared" si="74"/>
        <v>0</v>
      </c>
      <c r="W201" s="88">
        <f t="shared" si="74"/>
        <v>0</v>
      </c>
      <c r="X201" s="88">
        <f t="shared" si="74"/>
        <v>0</v>
      </c>
      <c r="Y201" s="88">
        <f>SUM(O201:X201)</f>
        <v>0</v>
      </c>
      <c r="Z201" s="88" t="s">
        <v>165</v>
      </c>
      <c r="AA201" s="88"/>
    </row>
    <row r="202" spans="1:27" ht="12.75">
      <c r="A202" s="168"/>
      <c r="B202" s="95"/>
      <c r="C202" s="95"/>
      <c r="D202" s="169"/>
      <c r="E202" s="170" t="s">
        <v>166</v>
      </c>
      <c r="F202" s="171">
        <f>+SUM(T190:T193)</f>
        <v>2360</v>
      </c>
      <c r="G202" s="172"/>
      <c r="H202" s="173" t="s">
        <v>167</v>
      </c>
      <c r="I202" s="95"/>
      <c r="J202" s="549">
        <f>+(F202)/(F209)</f>
        <v>0.046605316165725344</v>
      </c>
      <c r="K202" s="173" t="s">
        <v>164</v>
      </c>
      <c r="L202" s="95"/>
      <c r="M202" s="174"/>
      <c r="O202" s="88">
        <f>+IF((B50)="Y",(B$37),0)</f>
        <v>0</v>
      </c>
      <c r="P202" s="88">
        <f t="shared" si="74"/>
        <v>0</v>
      </c>
      <c r="Q202" s="88">
        <f t="shared" si="74"/>
        <v>0</v>
      </c>
      <c r="R202" s="88">
        <f t="shared" si="74"/>
        <v>0</v>
      </c>
      <c r="S202" s="88">
        <f t="shared" si="74"/>
        <v>0</v>
      </c>
      <c r="T202" s="88">
        <f t="shared" si="74"/>
        <v>0</v>
      </c>
      <c r="U202" s="88">
        <f t="shared" si="74"/>
        <v>0</v>
      </c>
      <c r="V202" s="88">
        <f t="shared" si="74"/>
        <v>0</v>
      </c>
      <c r="W202" s="88">
        <f t="shared" si="74"/>
        <v>0</v>
      </c>
      <c r="X202" s="88">
        <f t="shared" si="74"/>
        <v>0</v>
      </c>
      <c r="Y202" s="88">
        <f>SUM(O202:X202)</f>
        <v>0</v>
      </c>
      <c r="Z202" s="88" t="s">
        <v>168</v>
      </c>
      <c r="AA202" s="88"/>
    </row>
    <row r="203" spans="1:27" ht="12.75">
      <c r="A203" s="168"/>
      <c r="B203" s="95"/>
      <c r="C203" s="95"/>
      <c r="D203" s="95"/>
      <c r="E203" s="170" t="s">
        <v>169</v>
      </c>
      <c r="F203" s="171">
        <f>SUM(C190:F190)+M198+J190-F202</f>
        <v>10078</v>
      </c>
      <c r="G203" s="175"/>
      <c r="H203" s="173" t="s">
        <v>167</v>
      </c>
      <c r="I203" s="95"/>
      <c r="J203" s="549">
        <f>+(F203)/(F209)</f>
        <v>0.1990204984399068</v>
      </c>
      <c r="K203" s="173" t="s">
        <v>164</v>
      </c>
      <c r="L203" s="95"/>
      <c r="M203" s="174"/>
      <c r="O203" s="88">
        <f>+IF((B51)="Y",(B$37),0)</f>
        <v>0</v>
      </c>
      <c r="P203" s="88">
        <f t="shared" si="74"/>
        <v>0</v>
      </c>
      <c r="Q203" s="88">
        <f t="shared" si="74"/>
        <v>0</v>
      </c>
      <c r="R203" s="88">
        <f t="shared" si="74"/>
        <v>0</v>
      </c>
      <c r="S203" s="88">
        <f t="shared" si="74"/>
        <v>0</v>
      </c>
      <c r="T203" s="88">
        <f t="shared" si="74"/>
        <v>0</v>
      </c>
      <c r="U203" s="88">
        <f t="shared" si="74"/>
        <v>0</v>
      </c>
      <c r="V203" s="88">
        <f t="shared" si="74"/>
        <v>0</v>
      </c>
      <c r="W203" s="88">
        <f t="shared" si="74"/>
        <v>0</v>
      </c>
      <c r="X203" s="88">
        <f t="shared" si="74"/>
        <v>0</v>
      </c>
      <c r="Y203" s="88">
        <f>SUM(O203:X203)</f>
        <v>0</v>
      </c>
      <c r="Z203" s="88" t="s">
        <v>170</v>
      </c>
      <c r="AA203" s="88"/>
    </row>
    <row r="204" spans="1:27" ht="12.75">
      <c r="A204" s="168"/>
      <c r="B204" s="95"/>
      <c r="C204" s="95"/>
      <c r="D204" s="95"/>
      <c r="E204" s="95"/>
      <c r="F204" s="176" t="str">
        <f>+IF(((F201)+(F202))/(F203)&lt;4,"Urban Population will starve! Reduce the Non-Farming Population!","Congratulations! Population Produces a Food Surplus.")</f>
        <v>Congratulations! Population Produces a Food Surplus.</v>
      </c>
      <c r="G204" s="95"/>
      <c r="H204" s="95"/>
      <c r="I204" s="95"/>
      <c r="J204" s="550"/>
      <c r="K204" s="95"/>
      <c r="L204" s="95"/>
      <c r="M204" s="174"/>
      <c r="O204" s="88"/>
      <c r="P204" s="88"/>
      <c r="Q204" s="88"/>
      <c r="R204" s="88"/>
      <c r="S204" s="88"/>
      <c r="T204" s="88"/>
      <c r="U204" s="88"/>
      <c r="V204" s="88"/>
      <c r="W204" s="88"/>
      <c r="X204" s="88"/>
      <c r="Y204" s="88"/>
      <c r="Z204" s="88"/>
      <c r="AA204" s="88"/>
    </row>
    <row r="205" spans="1:27" ht="12.75">
      <c r="A205" s="168"/>
      <c r="B205" s="95"/>
      <c r="C205" s="95"/>
      <c r="D205" s="95"/>
      <c r="E205" s="95"/>
      <c r="F205" s="95"/>
      <c r="G205" s="95"/>
      <c r="H205" s="95"/>
      <c r="I205" s="95"/>
      <c r="J205" s="550"/>
      <c r="K205" s="95"/>
      <c r="L205" s="95"/>
      <c r="M205" s="174"/>
      <c r="O205" s="88">
        <f>+IF((B67)="Y",(B$59),0)</f>
        <v>0</v>
      </c>
      <c r="P205" s="88">
        <f aca="true" t="shared" si="75" ref="P205:X206">+IF((C67)="Y",(C$59),0)</f>
        <v>0</v>
      </c>
      <c r="Q205" s="88">
        <f t="shared" si="75"/>
        <v>0</v>
      </c>
      <c r="R205" s="88">
        <f t="shared" si="75"/>
        <v>0</v>
      </c>
      <c r="S205" s="88">
        <f t="shared" si="75"/>
        <v>0</v>
      </c>
      <c r="T205" s="88">
        <f t="shared" si="75"/>
        <v>0</v>
      </c>
      <c r="U205" s="88">
        <f t="shared" si="75"/>
        <v>0</v>
      </c>
      <c r="V205" s="88">
        <f t="shared" si="75"/>
        <v>0</v>
      </c>
      <c r="W205" s="88">
        <f t="shared" si="75"/>
        <v>0</v>
      </c>
      <c r="X205" s="88">
        <f t="shared" si="75"/>
        <v>0</v>
      </c>
      <c r="Y205" s="88">
        <f>SUM(O205:X205)</f>
        <v>0</v>
      </c>
      <c r="Z205" s="88" t="s">
        <v>171</v>
      </c>
      <c r="AA205" s="88"/>
    </row>
    <row r="206" spans="1:27" ht="12.75">
      <c r="A206" s="168"/>
      <c r="B206" s="95"/>
      <c r="C206" s="95"/>
      <c r="D206" s="95"/>
      <c r="E206" s="177" t="s">
        <v>172</v>
      </c>
      <c r="F206" s="95"/>
      <c r="G206" s="95"/>
      <c r="H206" s="95"/>
      <c r="I206" s="95"/>
      <c r="J206" s="550"/>
      <c r="K206" s="95"/>
      <c r="L206" s="95"/>
      <c r="M206" s="174"/>
      <c r="O206" s="88">
        <f>+IF((B68)="Y",(B$59),0)</f>
        <v>0</v>
      </c>
      <c r="P206" s="88">
        <f t="shared" si="75"/>
        <v>0</v>
      </c>
      <c r="Q206" s="88">
        <f t="shared" si="75"/>
        <v>0</v>
      </c>
      <c r="R206" s="88">
        <f t="shared" si="75"/>
        <v>0</v>
      </c>
      <c r="S206" s="88">
        <f t="shared" si="75"/>
        <v>0</v>
      </c>
      <c r="T206" s="88">
        <f t="shared" si="75"/>
        <v>0</v>
      </c>
      <c r="U206" s="88">
        <f t="shared" si="75"/>
        <v>0</v>
      </c>
      <c r="V206" s="88">
        <f t="shared" si="75"/>
        <v>0</v>
      </c>
      <c r="W206" s="88">
        <f t="shared" si="75"/>
        <v>0</v>
      </c>
      <c r="X206" s="88">
        <f t="shared" si="75"/>
        <v>0</v>
      </c>
      <c r="Y206" s="88">
        <f>SUM(O206:X206)</f>
        <v>0</v>
      </c>
      <c r="Z206" s="88" t="s">
        <v>173</v>
      </c>
      <c r="AA206" s="88"/>
    </row>
    <row r="207" spans="1:27" ht="12.75">
      <c r="A207" s="168"/>
      <c r="B207" s="95"/>
      <c r="C207" s="95"/>
      <c r="D207" s="95"/>
      <c r="E207" s="95"/>
      <c r="F207" s="171">
        <f>+(F209)-(F208)</f>
        <v>48095</v>
      </c>
      <c r="G207" s="172"/>
      <c r="H207" s="178" t="s">
        <v>174</v>
      </c>
      <c r="I207" s="95"/>
      <c r="J207" s="549">
        <f>+(F207)/(F209)</f>
        <v>0.9497807970298985</v>
      </c>
      <c r="K207" s="173" t="s">
        <v>164</v>
      </c>
      <c r="L207" s="95"/>
      <c r="M207" s="174"/>
      <c r="O207" s="88"/>
      <c r="P207" s="88"/>
      <c r="Q207" s="88"/>
      <c r="R207" s="88"/>
      <c r="S207" s="88"/>
      <c r="T207" s="88"/>
      <c r="U207" s="88"/>
      <c r="V207" s="88"/>
      <c r="W207" s="88"/>
      <c r="X207" s="88"/>
      <c r="Y207" s="88"/>
      <c r="Z207" s="88"/>
      <c r="AA207" s="88"/>
    </row>
    <row r="208" spans="1:27" ht="12.75">
      <c r="A208" s="168"/>
      <c r="B208" s="95"/>
      <c r="C208" s="95"/>
      <c r="D208" s="95"/>
      <c r="E208" s="95"/>
      <c r="F208" s="171">
        <f>M198</f>
        <v>2543</v>
      </c>
      <c r="G208" s="172"/>
      <c r="H208" s="179" t="s">
        <v>105</v>
      </c>
      <c r="I208" s="95"/>
      <c r="J208" s="551">
        <f>1-(J207)</f>
        <v>0.05021920297010152</v>
      </c>
      <c r="K208" s="173" t="s">
        <v>164</v>
      </c>
      <c r="L208" s="95"/>
      <c r="M208" s="174"/>
      <c r="O208" s="88">
        <f>+IF((B84)="Y",(B$76),0)</f>
        <v>0</v>
      </c>
      <c r="P208" s="88">
        <f aca="true" t="shared" si="76" ref="P208:X209">+IF((C84)="Y",(C$76),0)</f>
        <v>0</v>
      </c>
      <c r="Q208" s="88">
        <f t="shared" si="76"/>
        <v>0</v>
      </c>
      <c r="R208" s="88">
        <f t="shared" si="76"/>
        <v>0</v>
      </c>
      <c r="S208" s="88">
        <f t="shared" si="76"/>
        <v>0</v>
      </c>
      <c r="T208" s="88">
        <f t="shared" si="76"/>
        <v>0</v>
      </c>
      <c r="U208" s="88">
        <f t="shared" si="76"/>
        <v>0</v>
      </c>
      <c r="V208" s="88">
        <f t="shared" si="76"/>
        <v>0</v>
      </c>
      <c r="W208" s="88">
        <f t="shared" si="76"/>
        <v>0</v>
      </c>
      <c r="X208" s="88">
        <f t="shared" si="76"/>
        <v>0</v>
      </c>
      <c r="Y208" s="88">
        <f>SUM(O208:X208)</f>
        <v>0</v>
      </c>
      <c r="Z208" s="88" t="s">
        <v>175</v>
      </c>
      <c r="AA208" s="88"/>
    </row>
    <row r="209" spans="1:27" ht="13.5" thickBot="1">
      <c r="A209" s="180"/>
      <c r="B209" s="181"/>
      <c r="C209" s="181"/>
      <c r="D209" s="181"/>
      <c r="E209" s="182" t="s">
        <v>176</v>
      </c>
      <c r="F209" s="183">
        <f>+SUM(F201:F203)</f>
        <v>50638</v>
      </c>
      <c r="G209" s="183"/>
      <c r="H209" s="184" t="s">
        <v>53</v>
      </c>
      <c r="I209" s="181"/>
      <c r="J209" s="181"/>
      <c r="K209" s="181"/>
      <c r="L209" s="181"/>
      <c r="M209" s="185"/>
      <c r="O209" s="88">
        <f>+IF((B85)="Y",(B$76),0)</f>
        <v>0</v>
      </c>
      <c r="P209" s="88">
        <f t="shared" si="76"/>
        <v>0</v>
      </c>
      <c r="Q209" s="88">
        <f t="shared" si="76"/>
        <v>0</v>
      </c>
      <c r="R209" s="88">
        <f t="shared" si="76"/>
        <v>0</v>
      </c>
      <c r="S209" s="88">
        <f t="shared" si="76"/>
        <v>0</v>
      </c>
      <c r="T209" s="88">
        <f t="shared" si="76"/>
        <v>0</v>
      </c>
      <c r="U209" s="88">
        <f t="shared" si="76"/>
        <v>0</v>
      </c>
      <c r="V209" s="88">
        <f t="shared" si="76"/>
        <v>0</v>
      </c>
      <c r="W209" s="88">
        <f t="shared" si="76"/>
        <v>0</v>
      </c>
      <c r="X209" s="88">
        <f t="shared" si="76"/>
        <v>0</v>
      </c>
      <c r="Y209" s="88">
        <f>SUM(O209:X209)</f>
        <v>0</v>
      </c>
      <c r="Z209" s="88" t="s">
        <v>177</v>
      </c>
      <c r="AA209" s="88"/>
    </row>
    <row r="210" spans="1:27" ht="13.5" thickTop="1">
      <c r="A210" s="95"/>
      <c r="B210" s="95"/>
      <c r="C210" s="95"/>
      <c r="D210" s="95"/>
      <c r="E210" s="170"/>
      <c r="F210" s="171"/>
      <c r="G210" s="171"/>
      <c r="H210" s="173"/>
      <c r="I210" s="95"/>
      <c r="J210" s="95"/>
      <c r="K210" s="95"/>
      <c r="L210" s="95"/>
      <c r="M210" s="95"/>
      <c r="O210" s="88">
        <f aca="true" t="shared" si="77" ref="O210:X211">+IF((B101)="Y",(B$93),0)</f>
        <v>0</v>
      </c>
      <c r="P210" s="88">
        <f t="shared" si="77"/>
        <v>0</v>
      </c>
      <c r="Q210" s="88">
        <f t="shared" si="77"/>
        <v>0</v>
      </c>
      <c r="R210" s="88">
        <f t="shared" si="77"/>
        <v>0</v>
      </c>
      <c r="S210" s="88">
        <f t="shared" si="77"/>
        <v>0</v>
      </c>
      <c r="T210" s="88">
        <f t="shared" si="77"/>
        <v>0</v>
      </c>
      <c r="U210" s="88">
        <f t="shared" si="77"/>
        <v>0</v>
      </c>
      <c r="V210" s="88">
        <f t="shared" si="77"/>
        <v>0</v>
      </c>
      <c r="W210" s="88">
        <f t="shared" si="77"/>
        <v>0</v>
      </c>
      <c r="X210" s="88">
        <f t="shared" si="77"/>
        <v>0</v>
      </c>
      <c r="Y210" s="88">
        <f>SUM(O210:X210)</f>
        <v>0</v>
      </c>
      <c r="Z210" s="88" t="s">
        <v>178</v>
      </c>
      <c r="AA210" s="88"/>
    </row>
    <row r="211" spans="15:27" ht="13.5" thickBot="1">
      <c r="O211" s="88">
        <f t="shared" si="77"/>
        <v>0</v>
      </c>
      <c r="P211" s="88">
        <f t="shared" si="77"/>
        <v>0</v>
      </c>
      <c r="Q211" s="88">
        <f t="shared" si="77"/>
        <v>0</v>
      </c>
      <c r="R211" s="88">
        <f t="shared" si="77"/>
        <v>0</v>
      </c>
      <c r="S211" s="88">
        <f t="shared" si="77"/>
        <v>0</v>
      </c>
      <c r="T211" s="88">
        <f t="shared" si="77"/>
        <v>0</v>
      </c>
      <c r="U211" s="88">
        <f t="shared" si="77"/>
        <v>0</v>
      </c>
      <c r="V211" s="88">
        <f t="shared" si="77"/>
        <v>0</v>
      </c>
      <c r="W211" s="88">
        <f t="shared" si="77"/>
        <v>0</v>
      </c>
      <c r="X211" s="88">
        <f t="shared" si="77"/>
        <v>0</v>
      </c>
      <c r="Y211" s="88">
        <f>SUM(O211:X211)</f>
        <v>0</v>
      </c>
      <c r="Z211" s="88" t="s">
        <v>179</v>
      </c>
      <c r="AA211" s="88"/>
    </row>
    <row r="212" spans="1:13" ht="18.75" thickTop="1">
      <c r="A212" s="197" t="s">
        <v>180</v>
      </c>
      <c r="B212" s="198"/>
      <c r="C212" s="198"/>
      <c r="D212" s="198"/>
      <c r="E212" s="198"/>
      <c r="F212" s="198"/>
      <c r="G212" s="198"/>
      <c r="H212" s="198"/>
      <c r="I212" s="198"/>
      <c r="J212" s="198"/>
      <c r="K212" s="198"/>
      <c r="L212" s="198"/>
      <c r="M212" s="199"/>
    </row>
    <row r="213" spans="1:13" ht="12.75">
      <c r="A213" s="200"/>
      <c r="B213" s="95"/>
      <c r="C213" s="95"/>
      <c r="D213" s="95"/>
      <c r="E213" s="95"/>
      <c r="F213" s="95"/>
      <c r="G213" s="95"/>
      <c r="H213" s="95"/>
      <c r="I213" s="95"/>
      <c r="J213" s="95"/>
      <c r="K213" s="95"/>
      <c r="L213" s="95"/>
      <c r="M213" s="201"/>
    </row>
    <row r="214" spans="1:13" ht="12.75">
      <c r="A214" s="200"/>
      <c r="B214" s="95"/>
      <c r="C214" s="95"/>
      <c r="D214" s="95"/>
      <c r="E214" s="170" t="s">
        <v>181</v>
      </c>
      <c r="F214" s="171">
        <f>+SUM(B15:K15,B37:K37,B59:K59,B76:K76,B93:K93)*56</f>
        <v>4144</v>
      </c>
      <c r="G214" s="172"/>
      <c r="H214" s="173" t="s">
        <v>182</v>
      </c>
      <c r="I214" s="95"/>
      <c r="J214" s="95"/>
      <c r="K214" s="95"/>
      <c r="L214" s="95"/>
      <c r="M214" s="201"/>
    </row>
    <row r="215" spans="1:13" ht="12.75">
      <c r="A215" s="200"/>
      <c r="B215" s="95"/>
      <c r="C215" s="95"/>
      <c r="D215" s="95"/>
      <c r="E215" s="170" t="s">
        <v>183</v>
      </c>
      <c r="F215" s="171">
        <f>+(F209)/(F214)</f>
        <v>12.219594594594595</v>
      </c>
      <c r="G215" s="172"/>
      <c r="H215" s="173" t="s">
        <v>184</v>
      </c>
      <c r="I215" s="95"/>
      <c r="J215" s="95"/>
      <c r="K215" s="95"/>
      <c r="L215" s="95"/>
      <c r="M215" s="201"/>
    </row>
    <row r="216" spans="1:13" ht="12.75">
      <c r="A216" s="200"/>
      <c r="B216" s="95"/>
      <c r="C216" s="95"/>
      <c r="D216" s="95"/>
      <c r="E216" s="95"/>
      <c r="F216" s="95"/>
      <c r="G216" s="95"/>
      <c r="H216" s="95"/>
      <c r="I216" s="95"/>
      <c r="J216" s="95"/>
      <c r="K216" s="95"/>
      <c r="L216" s="95"/>
      <c r="M216" s="201"/>
    </row>
    <row r="217" spans="1:13" ht="12.75">
      <c r="A217" s="200"/>
      <c r="B217" s="95"/>
      <c r="C217" s="95"/>
      <c r="D217" s="95"/>
      <c r="E217" s="170" t="s">
        <v>185</v>
      </c>
      <c r="F217" s="547">
        <f>((SUM(Y195,Y200,Y205,Y208,Y210))*56)/($F$214)*100</f>
        <v>0</v>
      </c>
      <c r="G217" s="544"/>
      <c r="H217" s="173" t="s">
        <v>186</v>
      </c>
      <c r="I217" s="95"/>
      <c r="J217" s="95"/>
      <c r="K217" s="95"/>
      <c r="L217" s="95"/>
      <c r="M217" s="201"/>
    </row>
    <row r="218" spans="1:13" ht="12.75">
      <c r="A218" s="200"/>
      <c r="B218" s="95"/>
      <c r="C218" s="95"/>
      <c r="D218" s="95"/>
      <c r="E218" s="170" t="s">
        <v>187</v>
      </c>
      <c r="F218" s="547">
        <f>((SUM(Y196,Y201,Y206,Y209,Y211))*56)/($F$214)*100</f>
        <v>24.324324324324326</v>
      </c>
      <c r="G218" s="545"/>
      <c r="H218" s="173" t="s">
        <v>186</v>
      </c>
      <c r="I218" s="95"/>
      <c r="J218" s="95"/>
      <c r="K218" s="95"/>
      <c r="L218" s="95"/>
      <c r="M218" s="201"/>
    </row>
    <row r="219" spans="1:13" ht="13.5" thickBot="1">
      <c r="A219" s="202"/>
      <c r="B219" s="203"/>
      <c r="C219" s="203"/>
      <c r="D219" s="203"/>
      <c r="E219" s="204" t="s">
        <v>188</v>
      </c>
      <c r="F219" s="548">
        <f>((SUM(Y197,Y198,Y202,Y203))*56)/($F$214)*100</f>
        <v>75.67567567567568</v>
      </c>
      <c r="G219" s="546"/>
      <c r="H219" s="205" t="s">
        <v>186</v>
      </c>
      <c r="I219" s="203"/>
      <c r="J219" s="203"/>
      <c r="K219" s="203"/>
      <c r="L219" s="203"/>
      <c r="M219" s="206"/>
    </row>
    <row r="220" spans="1:27" ht="13.5" thickTop="1">
      <c r="A220" s="95"/>
      <c r="B220" s="95"/>
      <c r="C220" s="95"/>
      <c r="D220" s="95"/>
      <c r="E220" s="170"/>
      <c r="F220" s="193"/>
      <c r="G220" s="172"/>
      <c r="H220" s="173"/>
      <c r="I220" s="95"/>
      <c r="J220" s="95"/>
      <c r="K220" s="95"/>
      <c r="L220" s="95"/>
      <c r="M220" s="95"/>
      <c r="O220" s="88"/>
      <c r="P220" s="88"/>
      <c r="Q220" s="88"/>
      <c r="R220" s="88"/>
      <c r="S220" s="88"/>
      <c r="T220" s="88"/>
      <c r="U220" s="88"/>
      <c r="V220" s="88"/>
      <c r="W220" s="88"/>
      <c r="X220" s="88"/>
      <c r="Y220" s="88"/>
      <c r="Z220" s="88"/>
      <c r="AA220" s="88"/>
    </row>
    <row r="221" ht="13.5" thickBot="1"/>
    <row r="222" spans="1:13" ht="18.75" thickTop="1">
      <c r="A222" s="186" t="s">
        <v>189</v>
      </c>
      <c r="B222" s="187"/>
      <c r="C222" s="187"/>
      <c r="D222" s="188"/>
      <c r="E222" s="187"/>
      <c r="F222" s="187"/>
      <c r="G222" s="187"/>
      <c r="H222" s="187"/>
      <c r="I222" s="187"/>
      <c r="J222" s="187"/>
      <c r="K222" s="187"/>
      <c r="L222" s="187"/>
      <c r="M222" s="189"/>
    </row>
    <row r="223" spans="1:13" ht="12.75">
      <c r="A223" s="190"/>
      <c r="B223" s="191"/>
      <c r="C223" s="95"/>
      <c r="D223" s="95"/>
      <c r="E223" s="95"/>
      <c r="F223" s="95"/>
      <c r="G223" s="95"/>
      <c r="H223" s="95"/>
      <c r="I223" s="95"/>
      <c r="J223" s="95"/>
      <c r="K223" s="95"/>
      <c r="L223" s="95"/>
      <c r="M223" s="192"/>
    </row>
    <row r="224" spans="1:13" ht="12.75">
      <c r="A224" s="190"/>
      <c r="B224" s="191"/>
      <c r="C224" s="95"/>
      <c r="D224" s="95"/>
      <c r="E224" s="170" t="s">
        <v>190</v>
      </c>
      <c r="F224" s="171">
        <f>+F109</f>
        <v>3610</v>
      </c>
      <c r="G224" s="172"/>
      <c r="H224" s="173" t="s">
        <v>82</v>
      </c>
      <c r="I224" s="95"/>
      <c r="J224" s="549">
        <f>+(F224)/($F$231)</f>
        <v>0.2693266088721109</v>
      </c>
      <c r="K224" s="173" t="s">
        <v>191</v>
      </c>
      <c r="L224" s="95"/>
      <c r="M224" s="192"/>
    </row>
    <row r="225" spans="1:13" ht="12.75">
      <c r="A225" s="190"/>
      <c r="B225" s="191"/>
      <c r="C225" s="95"/>
      <c r="D225" s="95"/>
      <c r="E225" s="170" t="s">
        <v>192</v>
      </c>
      <c r="F225" s="171">
        <f>+SUM(C191:F191)</f>
        <v>3010</v>
      </c>
      <c r="G225" s="172"/>
      <c r="H225" s="173" t="s">
        <v>82</v>
      </c>
      <c r="I225" s="95"/>
      <c r="J225" s="549">
        <f aca="true" t="shared" si="78" ref="J225:J230">+(F225)/($F$231)</f>
        <v>0.22456318357480715</v>
      </c>
      <c r="K225" s="95"/>
      <c r="L225" s="95"/>
      <c r="M225" s="192"/>
    </row>
    <row r="226" spans="1:13" ht="12.75">
      <c r="A226" s="190"/>
      <c r="B226" s="95"/>
      <c r="C226" s="95"/>
      <c r="D226" s="95"/>
      <c r="E226" s="170" t="s">
        <v>193</v>
      </c>
      <c r="F226" s="171">
        <f>+E129</f>
        <v>2800</v>
      </c>
      <c r="G226" s="172"/>
      <c r="H226" s="173" t="s">
        <v>82</v>
      </c>
      <c r="I226" s="95"/>
      <c r="J226" s="549">
        <f t="shared" si="78"/>
        <v>0.20889598472075085</v>
      </c>
      <c r="K226" s="95"/>
      <c r="L226" s="95"/>
      <c r="M226" s="192"/>
    </row>
    <row r="227" spans="1:13" ht="12.75">
      <c r="A227" s="190"/>
      <c r="B227" s="95"/>
      <c r="C227" s="95"/>
      <c r="D227" s="95"/>
      <c r="E227" s="170" t="s">
        <v>194</v>
      </c>
      <c r="F227" s="171">
        <f>SUM(B142:B146)</f>
        <v>1250</v>
      </c>
      <c r="G227" s="172"/>
      <c r="H227" s="173" t="s">
        <v>82</v>
      </c>
      <c r="I227" s="95"/>
      <c r="J227" s="549">
        <f t="shared" si="78"/>
        <v>0.09325713603604949</v>
      </c>
      <c r="K227" s="95"/>
      <c r="L227" s="95"/>
      <c r="M227" s="192"/>
    </row>
    <row r="228" spans="1:13" ht="12.75">
      <c r="A228" s="190"/>
      <c r="B228" s="95"/>
      <c r="C228" s="95"/>
      <c r="D228" s="95"/>
      <c r="E228" s="170" t="s">
        <v>195</v>
      </c>
      <c r="F228" s="171">
        <f>+SUM(M191:N191)</f>
        <v>937.8</v>
      </c>
      <c r="G228" s="172"/>
      <c r="H228" s="173" t="s">
        <v>82</v>
      </c>
      <c r="I228" s="95"/>
      <c r="J228" s="549">
        <f t="shared" si="78"/>
        <v>0.06996523373968576</v>
      </c>
      <c r="K228" s="95"/>
      <c r="L228" s="95"/>
      <c r="M228" s="192"/>
    </row>
    <row r="229" spans="1:13" ht="12.75">
      <c r="A229" s="190"/>
      <c r="B229" s="95"/>
      <c r="C229" s="95"/>
      <c r="D229" s="95"/>
      <c r="E229" s="170" t="s">
        <v>196</v>
      </c>
      <c r="F229" s="171">
        <f>+M193</f>
        <v>1560</v>
      </c>
      <c r="G229" s="172"/>
      <c r="H229" s="173" t="s">
        <v>82</v>
      </c>
      <c r="I229" s="95"/>
      <c r="J229" s="549">
        <f t="shared" si="78"/>
        <v>0.11638490577298975</v>
      </c>
      <c r="K229" s="95"/>
      <c r="L229" s="95"/>
      <c r="M229" s="192"/>
    </row>
    <row r="230" spans="1:13" ht="12.75">
      <c r="A230" s="190"/>
      <c r="B230" s="95"/>
      <c r="C230" s="95"/>
      <c r="D230" s="95"/>
      <c r="E230" s="170" t="s">
        <v>197</v>
      </c>
      <c r="F230" s="171">
        <f>+(F202)*0.1</f>
        <v>236</v>
      </c>
      <c r="G230" s="172"/>
      <c r="H230" s="173" t="s">
        <v>82</v>
      </c>
      <c r="I230" s="95"/>
      <c r="J230" s="549">
        <f t="shared" si="78"/>
        <v>0.017606947283606143</v>
      </c>
      <c r="K230" s="95"/>
      <c r="L230" s="95"/>
      <c r="M230" s="192"/>
    </row>
    <row r="231" spans="1:13" ht="12.75">
      <c r="A231" s="190"/>
      <c r="B231" s="95"/>
      <c r="C231" s="95"/>
      <c r="D231" s="530"/>
      <c r="E231" s="531" t="s">
        <v>198</v>
      </c>
      <c r="F231" s="532">
        <f>SUM(F224:F230)</f>
        <v>13403.8</v>
      </c>
      <c r="G231" s="533"/>
      <c r="H231" s="534" t="s">
        <v>82</v>
      </c>
      <c r="I231" s="95"/>
      <c r="J231" s="95"/>
      <c r="K231" s="95"/>
      <c r="L231" s="95"/>
      <c r="M231" s="192"/>
    </row>
    <row r="232" spans="1:13" ht="12.75">
      <c r="A232" s="190"/>
      <c r="B232" s="95"/>
      <c r="C232" s="95"/>
      <c r="D232" s="95"/>
      <c r="E232" s="95"/>
      <c r="F232" s="95"/>
      <c r="G232" s="95"/>
      <c r="H232" s="95"/>
      <c r="I232" s="95"/>
      <c r="J232" s="95"/>
      <c r="K232" s="95"/>
      <c r="L232" s="95"/>
      <c r="M232" s="192"/>
    </row>
    <row r="233" spans="1:13" ht="12.75">
      <c r="A233" s="190"/>
      <c r="B233" s="95"/>
      <c r="C233" s="95"/>
      <c r="D233" s="95"/>
      <c r="E233" s="522" t="s">
        <v>199</v>
      </c>
      <c r="F233" s="523">
        <f>+(SUM(F224:F225))/((F201)+(SUM(C190:F190)))*10</f>
        <v>1.402542372881356</v>
      </c>
      <c r="G233" s="524"/>
      <c r="H233" s="525" t="s">
        <v>200</v>
      </c>
      <c r="I233" s="95"/>
      <c r="J233" s="95"/>
      <c r="K233" s="95"/>
      <c r="L233" s="95"/>
      <c r="M233" s="192"/>
    </row>
    <row r="234" spans="1:13" ht="13.5" thickBot="1">
      <c r="A234" s="194"/>
      <c r="B234" s="195"/>
      <c r="C234" s="195"/>
      <c r="D234" s="195"/>
      <c r="E234" s="526" t="s">
        <v>201</v>
      </c>
      <c r="F234" s="527">
        <f>+(F231)/(F209)*10</f>
        <v>2.646984478059955</v>
      </c>
      <c r="G234" s="528"/>
      <c r="H234" s="529" t="s">
        <v>200</v>
      </c>
      <c r="I234" s="195"/>
      <c r="J234" s="195"/>
      <c r="K234" s="195"/>
      <c r="L234" s="195"/>
      <c r="M234" s="196"/>
    </row>
    <row r="235" ht="13.5" thickTop="1"/>
    <row r="236" ht="13.5" thickBot="1"/>
    <row r="237" spans="1:13" ht="18.75" thickTop="1">
      <c r="A237" s="207" t="s">
        <v>202</v>
      </c>
      <c r="B237" s="208"/>
      <c r="C237" s="208"/>
      <c r="D237" s="208"/>
      <c r="E237" s="208"/>
      <c r="F237" s="208"/>
      <c r="G237" s="208"/>
      <c r="H237" s="208"/>
      <c r="I237" s="208"/>
      <c r="J237" s="208"/>
      <c r="K237" s="208"/>
      <c r="L237" s="208"/>
      <c r="M237" s="209"/>
    </row>
    <row r="238" spans="1:13" ht="12.75">
      <c r="A238" s="210"/>
      <c r="B238" s="211"/>
      <c r="C238" s="211"/>
      <c r="D238" s="211"/>
      <c r="E238" s="211"/>
      <c r="F238" s="211"/>
      <c r="G238" s="211"/>
      <c r="H238" s="211"/>
      <c r="I238" s="211"/>
      <c r="J238" s="211"/>
      <c r="K238" s="211"/>
      <c r="L238" s="211"/>
      <c r="M238" s="212"/>
    </row>
    <row r="239" spans="1:13" ht="12.75">
      <c r="A239" s="210"/>
      <c r="B239" s="213" t="s">
        <v>203</v>
      </c>
      <c r="C239" s="211"/>
      <c r="D239" s="211"/>
      <c r="E239" s="211"/>
      <c r="F239" s="211"/>
      <c r="G239" s="211"/>
      <c r="H239" s="211"/>
      <c r="I239" s="211"/>
      <c r="J239" s="211"/>
      <c r="K239" s="211"/>
      <c r="L239" s="211"/>
      <c r="M239" s="212"/>
    </row>
    <row r="240" spans="1:13" ht="12.75">
      <c r="A240" s="210"/>
      <c r="B240" s="211"/>
      <c r="C240" s="211"/>
      <c r="D240" s="211"/>
      <c r="E240" s="211"/>
      <c r="F240" s="211"/>
      <c r="G240" s="211"/>
      <c r="H240" s="211"/>
      <c r="I240" s="211"/>
      <c r="J240" s="211"/>
      <c r="K240" s="211"/>
      <c r="L240" s="211"/>
      <c r="M240" s="212"/>
    </row>
    <row r="241" spans="1:13" ht="12.75">
      <c r="A241" s="210"/>
      <c r="B241" s="211"/>
      <c r="C241" s="211"/>
      <c r="D241" s="214" t="s">
        <v>204</v>
      </c>
      <c r="E241" s="501" t="s">
        <v>15</v>
      </c>
      <c r="F241" s="211"/>
      <c r="G241" s="211"/>
      <c r="H241" s="211"/>
      <c r="I241" s="211"/>
      <c r="J241" s="211"/>
      <c r="K241" s="211"/>
      <c r="L241" s="211"/>
      <c r="M241" s="212"/>
    </row>
    <row r="242" spans="1:13" ht="12.75">
      <c r="A242" s="210"/>
      <c r="B242" s="211"/>
      <c r="C242" s="211"/>
      <c r="D242" s="214" t="s">
        <v>205</v>
      </c>
      <c r="E242" s="501"/>
      <c r="G242" s="220" t="s">
        <v>206</v>
      </c>
      <c r="H242" s="211"/>
      <c r="I242" s="211"/>
      <c r="J242" s="211"/>
      <c r="K242" s="211"/>
      <c r="L242" s="211"/>
      <c r="M242" s="212"/>
    </row>
    <row r="243" spans="1:13" ht="13.5">
      <c r="A243" s="210"/>
      <c r="B243" s="211"/>
      <c r="C243" s="211"/>
      <c r="D243" s="214" t="s">
        <v>207</v>
      </c>
      <c r="E243" s="501" t="s">
        <v>15</v>
      </c>
      <c r="G243" s="211"/>
      <c r="H243" s="211"/>
      <c r="I243" s="214" t="s">
        <v>208</v>
      </c>
      <c r="J243" s="502">
        <v>0</v>
      </c>
      <c r="K243" s="219" t="s">
        <v>209</v>
      </c>
      <c r="M243" s="212"/>
    </row>
    <row r="244" spans="1:13" ht="12.75">
      <c r="A244" s="210"/>
      <c r="B244" s="211"/>
      <c r="C244" s="211"/>
      <c r="D244" s="211"/>
      <c r="E244" s="211"/>
      <c r="F244" s="211"/>
      <c r="G244" s="211"/>
      <c r="H244" s="211"/>
      <c r="I244" s="211"/>
      <c r="J244" s="211"/>
      <c r="K244" s="256"/>
      <c r="L244" s="211"/>
      <c r="M244" s="212"/>
    </row>
    <row r="245" spans="1:13" ht="12.75">
      <c r="A245" s="210"/>
      <c r="B245" s="211"/>
      <c r="C245" s="215"/>
      <c r="D245" s="216" t="s">
        <v>210</v>
      </c>
      <c r="E245" s="217">
        <f>+F231+J243</f>
        <v>13403.8</v>
      </c>
      <c r="F245" s="218"/>
      <c r="G245" s="219" t="s">
        <v>82</v>
      </c>
      <c r="H245" s="211"/>
      <c r="I245" s="220" t="s">
        <v>211</v>
      </c>
      <c r="J245" s="220"/>
      <c r="K245" s="220"/>
      <c r="L245" s="211"/>
      <c r="M245" s="212"/>
    </row>
    <row r="246" spans="1:13" ht="12.75">
      <c r="A246" s="210"/>
      <c r="B246" s="211"/>
      <c r="C246" s="211"/>
      <c r="D246" s="221" t="s">
        <v>212</v>
      </c>
      <c r="E246" s="222">
        <f>+IF((E241)="y",($E$245)/5,0)</f>
        <v>2680.7599999999998</v>
      </c>
      <c r="F246" s="223"/>
      <c r="G246" s="224" t="s">
        <v>82</v>
      </c>
      <c r="H246" s="211"/>
      <c r="I246" s="261">
        <f>+(E246)/($E$245)*100</f>
        <v>20</v>
      </c>
      <c r="J246" s="220" t="s">
        <v>213</v>
      </c>
      <c r="K246" s="220"/>
      <c r="L246" s="211"/>
      <c r="M246" s="212"/>
    </row>
    <row r="247" spans="1:15" ht="12.75">
      <c r="A247" s="210"/>
      <c r="B247" s="211"/>
      <c r="C247" s="211"/>
      <c r="D247" s="221" t="s">
        <v>214</v>
      </c>
      <c r="E247" s="222">
        <f>+IF((E243)="y",($E$245)/10,0)</f>
        <v>1340.3799999999999</v>
      </c>
      <c r="F247" s="223"/>
      <c r="G247" s="224" t="s">
        <v>82</v>
      </c>
      <c r="H247" s="211"/>
      <c r="I247" s="261">
        <f>+(E247)/($E$245)*100</f>
        <v>10</v>
      </c>
      <c r="J247" s="220" t="s">
        <v>215</v>
      </c>
      <c r="K247" s="220"/>
      <c r="L247" s="211"/>
      <c r="M247" s="212"/>
      <c r="O247" s="257">
        <f>+E245-E246-E247</f>
        <v>9382.66</v>
      </c>
    </row>
    <row r="248" spans="1:13" ht="12.75">
      <c r="A248" s="253"/>
      <c r="B248" s="211"/>
      <c r="C248" s="211"/>
      <c r="D248" s="221"/>
      <c r="E248" s="222"/>
      <c r="F248" s="223"/>
      <c r="G248" s="224"/>
      <c r="H248" s="211"/>
      <c r="I248" s="261"/>
      <c r="J248" s="220"/>
      <c r="K248" s="220"/>
      <c r="L248" s="211"/>
      <c r="M248" s="212"/>
    </row>
    <row r="249" spans="1:13" ht="12.75">
      <c r="A249" s="211"/>
      <c r="B249" s="211"/>
      <c r="C249" s="211"/>
      <c r="D249" s="211"/>
      <c r="E249" s="264" t="s">
        <v>216</v>
      </c>
      <c r="F249" s="254"/>
      <c r="G249" s="254"/>
      <c r="H249" s="211"/>
      <c r="I249" s="262" t="s">
        <v>217</v>
      </c>
      <c r="J249" s="258"/>
      <c r="K249" s="258"/>
      <c r="L249" s="258"/>
      <c r="M249" s="212"/>
    </row>
    <row r="250" spans="1:13" ht="12.75">
      <c r="A250" s="211"/>
      <c r="B250" s="211"/>
      <c r="C250" s="211"/>
      <c r="D250" s="211"/>
      <c r="E250" s="255" t="s">
        <v>12</v>
      </c>
      <c r="F250" s="255" t="s">
        <v>13</v>
      </c>
      <c r="G250" s="255" t="s">
        <v>14</v>
      </c>
      <c r="H250" s="211"/>
      <c r="I250" s="263"/>
      <c r="J250" s="211"/>
      <c r="K250" s="211"/>
      <c r="L250" s="211"/>
      <c r="M250" s="212"/>
    </row>
    <row r="251" spans="1:13" ht="12.75">
      <c r="A251" s="211"/>
      <c r="B251" s="211"/>
      <c r="C251" s="211"/>
      <c r="D251" s="214" t="s">
        <v>218</v>
      </c>
      <c r="E251" s="501" t="s">
        <v>15</v>
      </c>
      <c r="F251" s="501"/>
      <c r="G251" s="501"/>
      <c r="H251" s="211"/>
      <c r="I251" s="263"/>
      <c r="J251" s="211"/>
      <c r="K251" s="211"/>
      <c r="L251" s="211"/>
      <c r="M251" s="212"/>
    </row>
    <row r="252" spans="1:13" ht="12.75">
      <c r="A252" s="211"/>
      <c r="B252" s="211"/>
      <c r="C252" s="211"/>
      <c r="D252" s="214" t="s">
        <v>219</v>
      </c>
      <c r="E252" s="501"/>
      <c r="F252" s="501" t="s">
        <v>15</v>
      </c>
      <c r="G252" s="501"/>
      <c r="H252" s="211"/>
      <c r="I252" s="263"/>
      <c r="J252" s="211"/>
      <c r="K252" s="211"/>
      <c r="L252" s="211"/>
      <c r="M252" s="212"/>
    </row>
    <row r="253" spans="1:13" ht="12.75">
      <c r="A253" s="211"/>
      <c r="B253" s="211"/>
      <c r="C253" s="211"/>
      <c r="D253" s="214" t="s">
        <v>220</v>
      </c>
      <c r="E253" s="501"/>
      <c r="F253" s="501" t="s">
        <v>15</v>
      </c>
      <c r="G253" s="501"/>
      <c r="H253" s="211"/>
      <c r="I253" s="263"/>
      <c r="J253" s="211"/>
      <c r="K253" s="211"/>
      <c r="L253" s="211"/>
      <c r="M253" s="212"/>
    </row>
    <row r="254" spans="1:13" ht="12.75">
      <c r="A254" s="210"/>
      <c r="B254" s="211"/>
      <c r="C254" s="211"/>
      <c r="D254" s="221"/>
      <c r="E254" s="222"/>
      <c r="F254" s="223"/>
      <c r="G254" s="224"/>
      <c r="H254" s="211"/>
      <c r="I254" s="261"/>
      <c r="J254" s="220"/>
      <c r="K254" s="220"/>
      <c r="L254" s="211"/>
      <c r="M254" s="212"/>
    </row>
    <row r="255" spans="1:13" ht="12.75">
      <c r="A255" s="210"/>
      <c r="B255" s="211"/>
      <c r="C255" s="211"/>
      <c r="D255" s="221" t="s">
        <v>218</v>
      </c>
      <c r="E255" s="222">
        <f>IF((E251)="y",($O$247)*0.35,IF((G251)="y",($O$247)*0.45,($O$247)*0.4))</f>
        <v>3283.9309999999996</v>
      </c>
      <c r="F255" s="223"/>
      <c r="G255" s="224" t="s">
        <v>82</v>
      </c>
      <c r="H255" s="211"/>
      <c r="I255" s="261">
        <f>+(E255)/($E$245)*100</f>
        <v>24.5</v>
      </c>
      <c r="J255" s="220" t="s">
        <v>215</v>
      </c>
      <c r="K255" s="220"/>
      <c r="L255" s="211"/>
      <c r="M255" s="212"/>
    </row>
    <row r="256" spans="1:13" ht="12.75">
      <c r="A256" s="210"/>
      <c r="B256" s="211"/>
      <c r="C256" s="211"/>
      <c r="D256" s="221" t="s">
        <v>219</v>
      </c>
      <c r="E256" s="222">
        <f>IF((E252)="y",(($O$247)-(E$255))*0.65,IF((G252)="y",(($O$247)-(E$255))*0.85,(($O$247)-(E$255))*0.75))</f>
        <v>4574.04675</v>
      </c>
      <c r="F256" s="223"/>
      <c r="G256" s="224" t="s">
        <v>82</v>
      </c>
      <c r="H256" s="211"/>
      <c r="I256" s="261">
        <f>+(E256)/($E$245)*100</f>
        <v>34.12500000000001</v>
      </c>
      <c r="J256" s="220" t="s">
        <v>215</v>
      </c>
      <c r="K256" s="220"/>
      <c r="L256" s="211"/>
      <c r="M256" s="212"/>
    </row>
    <row r="257" spans="1:13" ht="12.75">
      <c r="A257" s="210"/>
      <c r="B257" s="211"/>
      <c r="C257" s="211"/>
      <c r="D257" s="221" t="s">
        <v>221</v>
      </c>
      <c r="E257" s="222">
        <f>IF((E253)="y",(($O$247)-(E$255)-(E$256)),IF((G253)="y",(($O$247)-(E$255)-(E$256))*0.6,(($O$247)-(E$255)-(E$256))*0.8))</f>
        <v>1219.7458</v>
      </c>
      <c r="F257" s="223"/>
      <c r="G257" s="224" t="s">
        <v>82</v>
      </c>
      <c r="H257" s="211"/>
      <c r="I257" s="261">
        <f>+(E257)/($E$245)*100</f>
        <v>9.1</v>
      </c>
      <c r="J257" s="220" t="s">
        <v>215</v>
      </c>
      <c r="K257" s="220"/>
      <c r="L257" s="211"/>
      <c r="M257" s="212"/>
    </row>
    <row r="258" spans="1:13" ht="12.75">
      <c r="A258" s="210"/>
      <c r="B258" s="211"/>
      <c r="C258" s="215"/>
      <c r="D258" s="216" t="s">
        <v>220</v>
      </c>
      <c r="E258" s="217">
        <f>+O247-E255-E256-E257</f>
        <v>304.9364499999999</v>
      </c>
      <c r="F258" s="218"/>
      <c r="G258" s="219" t="s">
        <v>222</v>
      </c>
      <c r="H258" s="215"/>
      <c r="I258" s="261">
        <f>+(E258)/($E$245)*100</f>
        <v>2.2749999999999995</v>
      </c>
      <c r="J258" s="220" t="s">
        <v>215</v>
      </c>
      <c r="K258" s="220"/>
      <c r="L258" s="211"/>
      <c r="M258" s="212"/>
    </row>
    <row r="259" spans="1:13" ht="12.75">
      <c r="A259" s="210"/>
      <c r="B259" s="211"/>
      <c r="C259" s="215"/>
      <c r="D259" s="216"/>
      <c r="E259" s="217"/>
      <c r="F259" s="218"/>
      <c r="G259" s="219"/>
      <c r="H259" s="215"/>
      <c r="I259" s="225">
        <f>SUM(I246:I258)</f>
        <v>100</v>
      </c>
      <c r="J259" s="220" t="s">
        <v>215</v>
      </c>
      <c r="K259" s="220"/>
      <c r="L259" s="211"/>
      <c r="M259" s="212"/>
    </row>
    <row r="260" spans="1:13" ht="12.75">
      <c r="A260" s="259"/>
      <c r="B260" s="260"/>
      <c r="C260" s="215"/>
      <c r="D260" s="216" t="s">
        <v>223</v>
      </c>
      <c r="E260" s="265"/>
      <c r="F260" s="215"/>
      <c r="G260" s="215"/>
      <c r="H260" s="215"/>
      <c r="I260" s="211"/>
      <c r="J260" s="211"/>
      <c r="K260" s="211"/>
      <c r="L260" s="211"/>
      <c r="M260" s="212"/>
    </row>
    <row r="261" spans="1:13" ht="12.75">
      <c r="A261" s="259"/>
      <c r="B261" s="260"/>
      <c r="C261" s="215"/>
      <c r="D261" s="216" t="s">
        <v>224</v>
      </c>
      <c r="E261" s="215"/>
      <c r="F261" s="218"/>
      <c r="G261" s="215"/>
      <c r="H261" s="215"/>
      <c r="I261" s="211"/>
      <c r="J261" s="211"/>
      <c r="K261" s="211"/>
      <c r="L261" s="211"/>
      <c r="M261" s="212"/>
    </row>
    <row r="262" spans="1:13" ht="12.75">
      <c r="A262" s="259"/>
      <c r="B262" s="260"/>
      <c r="C262" s="215"/>
      <c r="D262" s="216" t="s">
        <v>225</v>
      </c>
      <c r="E262" s="217">
        <f>+($E$258)*12</f>
        <v>3659.237399999999</v>
      </c>
      <c r="F262" s="218"/>
      <c r="G262" s="219" t="s">
        <v>55</v>
      </c>
      <c r="H262" s="215"/>
      <c r="I262" s="211"/>
      <c r="J262" s="211"/>
      <c r="K262" s="211"/>
      <c r="L262" s="211"/>
      <c r="M262" s="212"/>
    </row>
    <row r="263" spans="1:13" ht="12.75">
      <c r="A263" s="210"/>
      <c r="B263" s="211"/>
      <c r="C263" s="215"/>
      <c r="D263" s="216"/>
      <c r="E263" s="217"/>
      <c r="F263" s="218"/>
      <c r="G263" s="219"/>
      <c r="H263" s="215"/>
      <c r="I263" s="211"/>
      <c r="J263" s="211"/>
      <c r="K263" s="211"/>
      <c r="L263" s="211"/>
      <c r="M263" s="212"/>
    </row>
    <row r="264" spans="1:13" ht="13.5" thickBot="1">
      <c r="A264" s="226"/>
      <c r="B264" s="227"/>
      <c r="C264" s="227"/>
      <c r="D264" s="228" t="s">
        <v>226</v>
      </c>
      <c r="E264" s="229">
        <f>+(E256)/(F208)*10</f>
        <v>17.98681380259536</v>
      </c>
      <c r="F264" s="230" t="s">
        <v>227</v>
      </c>
      <c r="G264" s="227"/>
      <c r="H264" s="227"/>
      <c r="I264" s="227"/>
      <c r="J264" s="227"/>
      <c r="K264" s="227"/>
      <c r="L264" s="227"/>
      <c r="M264" s="231"/>
    </row>
    <row r="265" ht="14.25" thickBot="1" thickTop="1"/>
    <row r="266" spans="1:13" ht="18.75" thickTop="1">
      <c r="A266" s="232" t="s">
        <v>228</v>
      </c>
      <c r="B266" s="233"/>
      <c r="C266" s="233"/>
      <c r="D266" s="233"/>
      <c r="E266" s="233"/>
      <c r="F266" s="233"/>
      <c r="G266" s="233"/>
      <c r="H266" s="233"/>
      <c r="I266" s="233"/>
      <c r="J266" s="233"/>
      <c r="K266" s="233"/>
      <c r="L266" s="233"/>
      <c r="M266" s="234"/>
    </row>
    <row r="267" spans="1:13" ht="12.75">
      <c r="A267" s="235"/>
      <c r="B267" s="95"/>
      <c r="C267" s="95"/>
      <c r="D267" s="95"/>
      <c r="E267" s="95"/>
      <c r="F267" s="95"/>
      <c r="G267" s="95"/>
      <c r="H267" s="95"/>
      <c r="I267" s="95"/>
      <c r="J267" s="95"/>
      <c r="K267" s="95"/>
      <c r="L267" s="95"/>
      <c r="M267" s="236"/>
    </row>
    <row r="268" spans="1:13" ht="12.75">
      <c r="A268" s="237" t="s">
        <v>229</v>
      </c>
      <c r="B268" s="95"/>
      <c r="C268" s="95"/>
      <c r="D268" s="95"/>
      <c r="E268" s="95"/>
      <c r="F268" s="95"/>
      <c r="G268" s="95"/>
      <c r="H268" s="95"/>
      <c r="I268" s="95"/>
      <c r="J268" s="95"/>
      <c r="K268" s="95"/>
      <c r="L268" s="95"/>
      <c r="M268" s="236"/>
    </row>
    <row r="269" spans="1:13" ht="12.75">
      <c r="A269" s="237" t="s">
        <v>230</v>
      </c>
      <c r="B269" s="95"/>
      <c r="C269" s="95"/>
      <c r="D269" s="95"/>
      <c r="E269" s="95"/>
      <c r="F269" s="95"/>
      <c r="G269" s="95"/>
      <c r="H269" s="95"/>
      <c r="I269" s="95"/>
      <c r="J269" s="95"/>
      <c r="K269" s="95"/>
      <c r="L269" s="95"/>
      <c r="M269" s="236"/>
    </row>
    <row r="270" spans="1:13" ht="12.75">
      <c r="A270" s="237" t="s">
        <v>231</v>
      </c>
      <c r="B270" s="95"/>
      <c r="C270" s="95"/>
      <c r="D270" s="95"/>
      <c r="E270" s="95"/>
      <c r="F270" s="95"/>
      <c r="G270" s="95"/>
      <c r="H270" s="95"/>
      <c r="I270" s="95"/>
      <c r="J270" s="95"/>
      <c r="K270" s="95"/>
      <c r="L270" s="95"/>
      <c r="M270" s="236"/>
    </row>
    <row r="271" spans="1:13" ht="12.75">
      <c r="A271" s="237"/>
      <c r="B271" s="95"/>
      <c r="C271" s="95"/>
      <c r="D271" s="95"/>
      <c r="E271" s="95"/>
      <c r="F271" s="95"/>
      <c r="G271" s="95"/>
      <c r="H271" s="95"/>
      <c r="I271" s="95"/>
      <c r="J271" s="95"/>
      <c r="K271" s="95"/>
      <c r="L271" s="95"/>
      <c r="M271" s="236"/>
    </row>
    <row r="272" spans="1:13" ht="12.75">
      <c r="A272" s="235"/>
      <c r="B272" s="173" t="s">
        <v>232</v>
      </c>
      <c r="C272" s="95"/>
      <c r="D272" s="95"/>
      <c r="E272" s="95"/>
      <c r="F272" s="95"/>
      <c r="G272" s="95"/>
      <c r="H272" s="95"/>
      <c r="I272" s="95"/>
      <c r="J272" s="95"/>
      <c r="K272" s="95"/>
      <c r="L272" s="95"/>
      <c r="M272" s="236"/>
    </row>
    <row r="273" spans="1:13" ht="13.5" thickBot="1">
      <c r="A273" s="238"/>
      <c r="B273" s="239" t="s">
        <v>233</v>
      </c>
      <c r="C273" s="240"/>
      <c r="D273" s="240"/>
      <c r="E273" s="240"/>
      <c r="F273" s="240"/>
      <c r="G273" s="240"/>
      <c r="H273" s="240"/>
      <c r="I273" s="240"/>
      <c r="J273" s="240"/>
      <c r="K273" s="240"/>
      <c r="L273" s="240"/>
      <c r="M273" s="241"/>
    </row>
    <row r="274" ht="13.5" thickTop="1"/>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31">
      <selection activeCell="B440" sqref="B440"/>
    </sheetView>
  </sheetViews>
  <sheetFormatPr defaultColWidth="9.140625" defaultRowHeight="12.75"/>
  <sheetData/>
  <sheetProtection password="DBB1" sheet="1" objects="1" scenarios="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S104"/>
  <sheetViews>
    <sheetView zoomScalePageLayoutView="0" workbookViewId="0" topLeftCell="A1">
      <selection activeCell="D5" sqref="D5"/>
    </sheetView>
  </sheetViews>
  <sheetFormatPr defaultColWidth="9.140625" defaultRowHeight="12.75"/>
  <cols>
    <col min="1" max="1" width="5.57421875" style="0" customWidth="1"/>
    <col min="2" max="2" width="4.8515625" style="0" customWidth="1"/>
    <col min="3" max="3" width="15.421875" style="0" customWidth="1"/>
    <col min="4" max="4" width="13.8515625" style="0" customWidth="1"/>
  </cols>
  <sheetData>
    <row r="1" spans="4:7" ht="24.75" customHeight="1">
      <c r="D1" s="330" t="s">
        <v>234</v>
      </c>
      <c r="E1" s="331">
        <f>+'Population &amp; Income'!$E$256</f>
        <v>4574.04675</v>
      </c>
      <c r="F1" s="332"/>
      <c r="G1" s="333" t="s">
        <v>82</v>
      </c>
    </row>
    <row r="3" spans="3:7" ht="12.75">
      <c r="C3" s="211"/>
      <c r="D3" s="358" t="s">
        <v>235</v>
      </c>
      <c r="E3" s="358"/>
      <c r="F3" s="358"/>
      <c r="G3" s="359"/>
    </row>
    <row r="4" spans="3:7" ht="12.75">
      <c r="C4" s="211"/>
      <c r="D4" s="360" t="s">
        <v>236</v>
      </c>
      <c r="E4" s="360" t="s">
        <v>12</v>
      </c>
      <c r="F4" s="360" t="s">
        <v>13</v>
      </c>
      <c r="G4" s="360" t="s">
        <v>14</v>
      </c>
    </row>
    <row r="5" spans="3:7" ht="12.75">
      <c r="C5" s="214"/>
      <c r="D5" s="501"/>
      <c r="E5" s="501"/>
      <c r="F5" s="501" t="s">
        <v>15</v>
      </c>
      <c r="G5" s="501"/>
    </row>
    <row r="8" spans="4:7" ht="18">
      <c r="D8" s="326" t="s">
        <v>237</v>
      </c>
      <c r="E8" s="327">
        <f>IF($E$5="y",$E$1*0.2,IF($F$5="y",$E$1*0.4,IF($G$5="y",$E$1*0.6,"0")))</f>
        <v>1829.6187000000002</v>
      </c>
      <c r="F8" s="328"/>
      <c r="G8" s="329" t="s">
        <v>82</v>
      </c>
    </row>
    <row r="9" spans="3:17" ht="12.75">
      <c r="C9" s="3"/>
      <c r="D9" s="273"/>
      <c r="E9" s="1"/>
      <c r="P9" s="135"/>
      <c r="Q9" s="8"/>
    </row>
    <row r="10" spans="6:17" ht="12.75">
      <c r="F10" s="3" t="s">
        <v>238</v>
      </c>
      <c r="G10" s="500" t="s">
        <v>15</v>
      </c>
      <c r="P10" s="87"/>
      <c r="Q10" s="90"/>
    </row>
    <row r="11" ht="13.5" thickBot="1"/>
    <row r="12" spans="2:15" ht="13.5" thickTop="1">
      <c r="B12" s="348"/>
      <c r="C12" s="349"/>
      <c r="D12" s="364" t="s">
        <v>239</v>
      </c>
      <c r="E12" s="364" t="s">
        <v>240</v>
      </c>
      <c r="F12" s="352" t="s">
        <v>241</v>
      </c>
      <c r="G12" s="353"/>
      <c r="H12" s="353"/>
      <c r="I12" s="354"/>
      <c r="J12" s="384" t="s">
        <v>242</v>
      </c>
      <c r="O12" s="266"/>
    </row>
    <row r="13" spans="2:17" ht="12.75">
      <c r="B13" s="350" t="s">
        <v>243</v>
      </c>
      <c r="C13" s="351"/>
      <c r="D13" s="365" t="s">
        <v>244</v>
      </c>
      <c r="E13" s="365" t="s">
        <v>245</v>
      </c>
      <c r="F13" s="355" t="s">
        <v>246</v>
      </c>
      <c r="G13" s="356" t="s">
        <v>247</v>
      </c>
      <c r="H13" s="356" t="s">
        <v>248</v>
      </c>
      <c r="I13" s="357" t="s">
        <v>249</v>
      </c>
      <c r="J13" s="357" t="s">
        <v>250</v>
      </c>
      <c r="O13" s="266"/>
      <c r="P13" s="88"/>
      <c r="Q13" s="88"/>
    </row>
    <row r="14" spans="2:17" ht="12.75">
      <c r="B14" s="286"/>
      <c r="C14" s="289" t="s">
        <v>251</v>
      </c>
      <c r="D14" s="503">
        <v>8</v>
      </c>
      <c r="E14" s="503">
        <v>0.5</v>
      </c>
      <c r="F14" s="291">
        <f>D14*10</f>
        <v>80</v>
      </c>
      <c r="G14" s="292">
        <f>D14*20</f>
        <v>160</v>
      </c>
      <c r="H14" s="292">
        <f>D14*60</f>
        <v>480</v>
      </c>
      <c r="I14" s="293">
        <f>D14*3</f>
        <v>24</v>
      </c>
      <c r="J14" s="385">
        <f>IF($G$10="y",(F14*0.3*E14)+(G14*0.75*E14)+(I14*55*E14),(F14*0.3*E14)+(G14*0.75*E14)+(H14*0.2*E14)+(I14*55*E14))</f>
        <v>732</v>
      </c>
      <c r="O14" s="288"/>
      <c r="P14" s="274"/>
      <c r="Q14" s="257"/>
    </row>
    <row r="15" spans="2:17" ht="12.75">
      <c r="B15" s="286"/>
      <c r="C15" s="289" t="s">
        <v>252</v>
      </c>
      <c r="D15" s="503">
        <v>1</v>
      </c>
      <c r="E15" s="503">
        <v>0.5</v>
      </c>
      <c r="F15" s="291">
        <f>D15*20</f>
        <v>20</v>
      </c>
      <c r="G15" s="292">
        <f>D15*50</f>
        <v>50</v>
      </c>
      <c r="H15" s="292">
        <f>D15*180</f>
        <v>180</v>
      </c>
      <c r="I15" s="293">
        <f>D15*4</f>
        <v>4</v>
      </c>
      <c r="J15" s="385">
        <f>IF($G$10="y",(F15*0.3*E15)+(G15*0.75*E15)+(I15*110*E15),(F15*0.3*E15)+(G15*0.75*E15)+(H15*0.2*E15)+(I15*110*E15))</f>
        <v>241.75</v>
      </c>
      <c r="O15" s="288"/>
      <c r="P15" s="274"/>
      <c r="Q15" s="257"/>
    </row>
    <row r="16" spans="2:17" ht="12.75">
      <c r="B16" s="286"/>
      <c r="C16" s="289" t="s">
        <v>253</v>
      </c>
      <c r="D16" s="503"/>
      <c r="E16" s="503">
        <v>0.5</v>
      </c>
      <c r="F16" s="291">
        <f>D16*30</f>
        <v>0</v>
      </c>
      <c r="G16" s="292">
        <f>D16*75</f>
        <v>0</v>
      </c>
      <c r="H16" s="292">
        <f>D16*300</f>
        <v>0</v>
      </c>
      <c r="I16" s="293">
        <f>D16*5</f>
        <v>0</v>
      </c>
      <c r="J16" s="385">
        <f>IF($G$10="y",(F16*0.3*E16)+(G16*0.75*E16)+(I16*165*E16),(F16*0.3*E16)+(G16*0.75*E16)+(H16*0.2*E16)+(I16*165*E16))</f>
        <v>0</v>
      </c>
      <c r="O16" s="288"/>
      <c r="P16" s="274"/>
      <c r="Q16" s="257"/>
    </row>
    <row r="17" spans="2:17" ht="12.75">
      <c r="B17" s="286"/>
      <c r="C17" s="289" t="s">
        <v>254</v>
      </c>
      <c r="D17" s="503"/>
      <c r="E17" s="503">
        <v>0.5</v>
      </c>
      <c r="F17" s="291">
        <f>D17*75</f>
        <v>0</v>
      </c>
      <c r="G17" s="292">
        <v>0</v>
      </c>
      <c r="H17" s="292">
        <v>0</v>
      </c>
      <c r="I17" s="293">
        <f>D17*2</f>
        <v>0</v>
      </c>
      <c r="J17" s="385">
        <f>IF($G$10="y",(F17*0.3*E17)+(G17*0.75*E17)+(I17*55*E17),(F17*0.3*E17)+(G17*0.75*E17)+(H17*0.2*E17)+(I17*55*E17))</f>
        <v>0</v>
      </c>
      <c r="O17" s="288"/>
      <c r="P17" s="274"/>
      <c r="Q17" s="257"/>
    </row>
    <row r="18" spans="2:17" ht="12.75">
      <c r="B18" s="286"/>
      <c r="C18" s="289" t="s">
        <v>255</v>
      </c>
      <c r="D18" s="503">
        <v>4</v>
      </c>
      <c r="E18" s="503">
        <v>0.5</v>
      </c>
      <c r="F18" s="291">
        <f>D18*10</f>
        <v>40</v>
      </c>
      <c r="G18" s="292">
        <f>D18*25</f>
        <v>100</v>
      </c>
      <c r="H18" s="292">
        <v>0</v>
      </c>
      <c r="I18" s="293">
        <f>D18*3</f>
        <v>12</v>
      </c>
      <c r="J18" s="385">
        <f>IF($G$10="y",(F18*0.3*E18)+(G18*0.75*E18)+(I18*55*E18),(F18*0.3*E18)+(G18*0.75*E18)+(H18*0.2*E18)+(I18*55*E18))</f>
        <v>373.5</v>
      </c>
      <c r="O18" s="288"/>
      <c r="P18" s="274"/>
      <c r="Q18" s="257"/>
    </row>
    <row r="19" spans="2:17" ht="12.75">
      <c r="B19" s="286"/>
      <c r="C19" s="289" t="s">
        <v>256</v>
      </c>
      <c r="D19" s="503">
        <v>1</v>
      </c>
      <c r="E19" s="503">
        <v>0.5</v>
      </c>
      <c r="F19" s="291">
        <f>D19*20</f>
        <v>20</v>
      </c>
      <c r="G19" s="292">
        <f>D19*50</f>
        <v>50</v>
      </c>
      <c r="H19" s="292">
        <v>0</v>
      </c>
      <c r="I19" s="293">
        <f>D19*4</f>
        <v>4</v>
      </c>
      <c r="J19" s="385">
        <f>IF($G$10="y",(F19*0.3*E19)+(G19*0.75*E19)+(I19*110*E19),(F19*0.3*E19)+(G19*0.75*E19)+(H19*0.2*E19)+(I19*110*E19))</f>
        <v>241.75</v>
      </c>
      <c r="O19" s="288"/>
      <c r="P19" s="274"/>
      <c r="Q19" s="257"/>
    </row>
    <row r="20" spans="2:17" ht="13.5" thickBot="1">
      <c r="B20" s="287"/>
      <c r="C20" s="290" t="s">
        <v>257</v>
      </c>
      <c r="D20" s="504"/>
      <c r="E20" s="504">
        <v>0.5</v>
      </c>
      <c r="F20" s="294">
        <f>D20*30</f>
        <v>0</v>
      </c>
      <c r="G20" s="295">
        <f>D20*50</f>
        <v>0</v>
      </c>
      <c r="H20" s="295">
        <v>0</v>
      </c>
      <c r="I20" s="296">
        <f>D20*5</f>
        <v>0</v>
      </c>
      <c r="J20" s="386">
        <f>IF($G$10="y",(F20*0.3*E20)+(G20*0.75*E20)+(I20*110*E20),(F20*0.3*E20)+(G20*0.75*E20)+(H20*0.2*E20)+(I20*110*E20))</f>
        <v>0</v>
      </c>
      <c r="O20" s="288"/>
      <c r="P20" s="274"/>
      <c r="Q20" s="257"/>
    </row>
    <row r="21" ht="14.25" thickBot="1" thickTop="1"/>
    <row r="22" spans="2:8" ht="14.25" thickBot="1" thickTop="1">
      <c r="B22" s="308"/>
      <c r="C22" s="309" t="s">
        <v>258</v>
      </c>
      <c r="D22" s="310">
        <f>SUM(D14:D20)</f>
        <v>14</v>
      </c>
      <c r="E22" s="310" t="s">
        <v>259</v>
      </c>
      <c r="F22" s="311"/>
      <c r="G22" s="312" t="s">
        <v>260</v>
      </c>
      <c r="H22" s="313">
        <f>SUM(F14:I20)</f>
        <v>1224</v>
      </c>
    </row>
    <row r="23" spans="3:11" ht="13.5" thickTop="1">
      <c r="C23" s="297"/>
      <c r="D23" s="298"/>
      <c r="E23" s="299"/>
      <c r="F23" s="314"/>
      <c r="G23" s="300"/>
      <c r="J23" s="4"/>
      <c r="K23" s="4"/>
    </row>
    <row r="24" spans="3:11" ht="12.75">
      <c r="C24" s="301"/>
      <c r="D24" s="302" t="s">
        <v>261</v>
      </c>
      <c r="E24" s="317">
        <f>SUM(J14:J20)</f>
        <v>1589</v>
      </c>
      <c r="F24" s="315" t="s">
        <v>82</v>
      </c>
      <c r="G24" s="303"/>
      <c r="J24" s="4"/>
      <c r="K24" s="4"/>
    </row>
    <row r="25" spans="3:11" ht="13.5" thickBot="1">
      <c r="C25" s="304"/>
      <c r="D25" s="305"/>
      <c r="E25" s="306"/>
      <c r="F25" s="316"/>
      <c r="G25" s="307"/>
      <c r="J25" s="4"/>
      <c r="K25" s="4"/>
    </row>
    <row r="26" spans="10:11" ht="13.5" thickTop="1">
      <c r="J26" s="4"/>
      <c r="K26" s="4"/>
    </row>
    <row r="27" spans="10:11" ht="12.75">
      <c r="J27" s="4"/>
      <c r="K27" s="4"/>
    </row>
    <row r="29" spans="3:9" ht="12.75">
      <c r="C29" s="278"/>
      <c r="D29" s="279" t="s">
        <v>262</v>
      </c>
      <c r="E29" s="318">
        <f>$E$8*0.9</f>
        <v>1646.6568300000001</v>
      </c>
      <c r="F29" s="280" t="s">
        <v>82</v>
      </c>
      <c r="G29" s="280"/>
      <c r="I29" s="5"/>
    </row>
    <row r="30" spans="1:11" ht="12.75">
      <c r="A30" s="271">
        <f>IF($E$24&gt;($E$8*0.9),"FLEET IS TOO LARGE FOR BUDGET! REDUCE THE NUMBER OF SHIPS TO LOWER TOTAL CREW COSTS","")</f>
      </c>
      <c r="B30" s="8"/>
      <c r="C30" s="8"/>
      <c r="D30" s="8"/>
      <c r="E30" s="8"/>
      <c r="F30" s="8"/>
      <c r="G30" s="8"/>
      <c r="H30" s="362"/>
      <c r="I30" s="74"/>
      <c r="J30" s="8"/>
      <c r="K30" s="363"/>
    </row>
    <row r="31" spans="3:9" ht="12.75">
      <c r="C31" s="361" t="str">
        <f>IF($E$24&lt;($E$8*0.899999),"NAVY IS WITHIN BUDGET, ADD MORE IF POSSIBLE","")</f>
        <v>NAVY IS WITHIN BUDGET, ADD MORE IF POSSIBLE</v>
      </c>
      <c r="D31" s="8"/>
      <c r="E31" s="8"/>
      <c r="F31" s="8"/>
      <c r="G31" s="8"/>
      <c r="H31" s="3"/>
      <c r="I31" s="5"/>
    </row>
    <row r="32" spans="3:9" ht="12.75">
      <c r="C32" s="8"/>
      <c r="H32" s="3"/>
      <c r="I32" s="5"/>
    </row>
    <row r="33" spans="4:6" ht="12.75">
      <c r="D33" s="3" t="s">
        <v>263</v>
      </c>
      <c r="E33" s="320">
        <f>$E$8*0.1</f>
        <v>182.96187000000003</v>
      </c>
      <c r="F33" s="1" t="s">
        <v>82</v>
      </c>
    </row>
    <row r="34" spans="4:6" ht="12.75">
      <c r="D34" s="3" t="s">
        <v>264</v>
      </c>
      <c r="E34" s="319">
        <f>E8-(E33+E24)</f>
        <v>57.65683000000013</v>
      </c>
      <c r="F34" s="1" t="s">
        <v>82</v>
      </c>
    </row>
    <row r="35" spans="4:6" ht="12.75">
      <c r="D35" s="3"/>
      <c r="E35" s="275"/>
      <c r="F35" s="1"/>
    </row>
    <row r="37" spans="4:7" ht="18">
      <c r="D37" s="323" t="s">
        <v>265</v>
      </c>
      <c r="E37" s="325">
        <f>$E$1-$E$8+$E$34</f>
        <v>2802.0848800000003</v>
      </c>
      <c r="F37" s="8"/>
      <c r="G37" s="324" t="s">
        <v>82</v>
      </c>
    </row>
    <row r="38" spans="3:5" ht="13.5" thickBot="1">
      <c r="C38" s="3"/>
      <c r="D38" s="5"/>
      <c r="E38" s="1"/>
    </row>
    <row r="39" spans="4:9" ht="14.25" thickBot="1" thickTop="1">
      <c r="D39" s="345" t="s">
        <v>266</v>
      </c>
      <c r="H39" s="389" t="s">
        <v>266</v>
      </c>
      <c r="I39" s="390"/>
    </row>
    <row r="40" spans="3:9" ht="13.5" thickTop="1">
      <c r="C40" s="347" t="s">
        <v>267</v>
      </c>
      <c r="D40" s="346" t="s">
        <v>268</v>
      </c>
      <c r="E40" s="1"/>
      <c r="F40" s="401" t="s">
        <v>267</v>
      </c>
      <c r="G40" s="400"/>
      <c r="H40" s="391" t="s">
        <v>268</v>
      </c>
      <c r="I40" s="392"/>
    </row>
    <row r="41" spans="3:9" ht="13.5">
      <c r="C41" s="368" t="s">
        <v>269</v>
      </c>
      <c r="D41" s="503">
        <v>1.5</v>
      </c>
      <c r="F41" s="535" t="s">
        <v>270</v>
      </c>
      <c r="G41" s="407"/>
      <c r="H41" s="507">
        <v>1</v>
      </c>
      <c r="I41" s="408"/>
    </row>
    <row r="42" spans="3:12" ht="13.5">
      <c r="C42" s="368" t="s">
        <v>271</v>
      </c>
      <c r="D42" s="503">
        <v>1</v>
      </c>
      <c r="F42" s="535" t="s">
        <v>272</v>
      </c>
      <c r="G42" s="407"/>
      <c r="H42" s="507"/>
      <c r="I42" s="408"/>
      <c r="L42" s="416" t="s">
        <v>273</v>
      </c>
    </row>
    <row r="43" spans="3:9" ht="13.5">
      <c r="C43" s="368" t="s">
        <v>274</v>
      </c>
      <c r="D43" s="503">
        <v>1</v>
      </c>
      <c r="F43" s="535" t="s">
        <v>272</v>
      </c>
      <c r="G43" s="407"/>
      <c r="H43" s="508"/>
      <c r="I43" s="408"/>
    </row>
    <row r="44" spans="3:9" ht="13.5">
      <c r="C44" s="368" t="s">
        <v>275</v>
      </c>
      <c r="D44" s="503"/>
      <c r="F44" s="535" t="s">
        <v>272</v>
      </c>
      <c r="G44" s="407"/>
      <c r="H44" s="508"/>
      <c r="I44" s="408"/>
    </row>
    <row r="45" spans="3:9" ht="13.5">
      <c r="C45" s="368" t="s">
        <v>276</v>
      </c>
      <c r="D45" s="503"/>
      <c r="F45" s="536" t="s">
        <v>277</v>
      </c>
      <c r="G45" s="396"/>
      <c r="H45" s="509">
        <v>0.3</v>
      </c>
      <c r="I45" s="388"/>
    </row>
    <row r="46" spans="3:9" ht="13.5">
      <c r="C46" s="368" t="s">
        <v>278</v>
      </c>
      <c r="D46" s="503"/>
      <c r="F46" s="536" t="s">
        <v>279</v>
      </c>
      <c r="G46" s="396"/>
      <c r="H46" s="509">
        <v>0.2</v>
      </c>
      <c r="I46" s="388"/>
    </row>
    <row r="47" spans="3:9" ht="13.5">
      <c r="C47" s="368" t="s">
        <v>280</v>
      </c>
      <c r="D47" s="503"/>
      <c r="F47" s="536" t="s">
        <v>281</v>
      </c>
      <c r="G47" s="396"/>
      <c r="H47" s="509"/>
      <c r="I47" s="388"/>
    </row>
    <row r="48" spans="3:9" ht="13.5">
      <c r="C48" s="368" t="s">
        <v>282</v>
      </c>
      <c r="D48" s="503">
        <v>1.2</v>
      </c>
      <c r="F48" s="536" t="s">
        <v>283</v>
      </c>
      <c r="G48" s="396"/>
      <c r="H48" s="510"/>
      <c r="I48" s="388"/>
    </row>
    <row r="49" spans="3:9" ht="13.5">
      <c r="C49" s="368" t="s">
        <v>284</v>
      </c>
      <c r="D49" s="503"/>
      <c r="F49" s="535" t="s">
        <v>285</v>
      </c>
      <c r="G49" s="407"/>
      <c r="H49" s="507"/>
      <c r="I49" s="408"/>
    </row>
    <row r="50" spans="3:13" ht="13.5">
      <c r="C50" s="368" t="s">
        <v>286</v>
      </c>
      <c r="D50" s="503"/>
      <c r="F50" s="535" t="s">
        <v>287</v>
      </c>
      <c r="G50" s="407"/>
      <c r="H50" s="507"/>
      <c r="I50" s="408"/>
      <c r="L50" s="416" t="s">
        <v>288</v>
      </c>
      <c r="M50" s="415"/>
    </row>
    <row r="51" spans="3:9" ht="13.5">
      <c r="C51" s="368" t="s">
        <v>289</v>
      </c>
      <c r="D51" s="503">
        <v>1</v>
      </c>
      <c r="F51" s="535" t="s">
        <v>290</v>
      </c>
      <c r="G51" s="407"/>
      <c r="H51" s="508"/>
      <c r="I51" s="408"/>
    </row>
    <row r="52" spans="3:9" ht="14.25" thickBot="1">
      <c r="C52" s="369" t="s">
        <v>291</v>
      </c>
      <c r="D52" s="505"/>
      <c r="F52" s="535" t="s">
        <v>292</v>
      </c>
      <c r="G52" s="407"/>
      <c r="H52" s="508"/>
      <c r="I52" s="408"/>
    </row>
    <row r="53" spans="3:9" ht="15" thickBot="1" thickTop="1">
      <c r="C53" s="406" t="s">
        <v>293</v>
      </c>
      <c r="D53" s="506"/>
      <c r="F53" s="387" t="s">
        <v>294</v>
      </c>
      <c r="G53" s="397"/>
      <c r="H53" s="511">
        <v>0.1</v>
      </c>
      <c r="I53" s="394"/>
    </row>
    <row r="54" spans="6:9" ht="14.25" thickBot="1" thickTop="1">
      <c r="F54" s="398" t="s">
        <v>295</v>
      </c>
      <c r="G54" s="399"/>
      <c r="H54" s="393"/>
      <c r="I54" s="395"/>
    </row>
    <row r="55" ht="13.5" thickTop="1">
      <c r="C55" s="417" t="s">
        <v>296</v>
      </c>
    </row>
    <row r="57" spans="1:16" ht="12.75">
      <c r="A57" s="382" t="s">
        <v>297</v>
      </c>
      <c r="D57" s="8"/>
      <c r="E57" s="8"/>
      <c r="F57" s="382" t="s">
        <v>298</v>
      </c>
      <c r="G57" s="8"/>
      <c r="H57" s="8"/>
      <c r="I57" s="8"/>
      <c r="N57" s="266" t="s">
        <v>299</v>
      </c>
      <c r="O57" s="266">
        <f>SUM(D41:D53,H40:H53)</f>
        <v>7.3</v>
      </c>
      <c r="P57" s="90" t="s">
        <v>268</v>
      </c>
    </row>
    <row r="58" spans="1:6" ht="12.75">
      <c r="A58" s="382" t="s">
        <v>300</v>
      </c>
      <c r="F58" s="382" t="s">
        <v>301</v>
      </c>
    </row>
    <row r="59" ht="13.5" thickBot="1"/>
    <row r="60" spans="2:17" ht="13.5" thickTop="1">
      <c r="B60" s="412"/>
      <c r="C60" s="337" t="s">
        <v>302</v>
      </c>
      <c r="D60" s="343" t="s">
        <v>303</v>
      </c>
      <c r="E60" s="343" t="s">
        <v>304</v>
      </c>
      <c r="F60" s="335" t="s">
        <v>305</v>
      </c>
      <c r="G60" s="336" t="s">
        <v>306</v>
      </c>
      <c r="H60" s="336" t="s">
        <v>307</v>
      </c>
      <c r="I60" s="337" t="s">
        <v>308</v>
      </c>
      <c r="J60" s="334" t="s">
        <v>309</v>
      </c>
      <c r="N60" s="277" t="s">
        <v>310</v>
      </c>
      <c r="O60" s="277" t="s">
        <v>311</v>
      </c>
      <c r="P60" s="277" t="s">
        <v>312</v>
      </c>
      <c r="Q60" s="277" t="s">
        <v>313</v>
      </c>
    </row>
    <row r="61" spans="2:19" ht="13.5">
      <c r="B61" s="286"/>
      <c r="C61" s="409" t="str">
        <f aca="true" t="shared" si="0" ref="C61:C73">C41</f>
        <v>Light Infantry</v>
      </c>
      <c r="D61" s="512">
        <v>0.5</v>
      </c>
      <c r="E61" s="513">
        <v>0.5</v>
      </c>
      <c r="F61" s="283">
        <f aca="true" t="shared" si="1" ref="F61:F67">ROUND(N61/(($D61*$E61)*500),0)</f>
        <v>1</v>
      </c>
      <c r="G61" s="284">
        <f aca="true" t="shared" si="2" ref="G61:G67">ROUND(O61/(($D61*$E61)*100),0)</f>
        <v>6</v>
      </c>
      <c r="H61" s="284">
        <f aca="true" t="shared" si="3" ref="H61:H67">ROUND(P61/(($D61*$E61)*10),0)</f>
        <v>60</v>
      </c>
      <c r="I61" s="285">
        <f aca="true" t="shared" si="4" ref="I61:I67">ROUND(Q61/($D61*$E61),0)</f>
        <v>603</v>
      </c>
      <c r="J61" s="344">
        <f aca="true" t="shared" si="5" ref="J61:J67">((F61*500)*($D61*$E61))+(((G61)*100)*($D61*$E61))+(((H61)*10)*($D61*$E61))+((I61)*($D61*$E61))</f>
        <v>575.75</v>
      </c>
      <c r="N61" s="91">
        <f aca="true" t="shared" si="6" ref="N61:N73">IF(($E$37/$O$57*$D41)/4&lt;($D61*500*$E61),0,($E$37/$O$57*$D41)/4)</f>
        <v>143.94271643835617</v>
      </c>
      <c r="O61" s="91">
        <f aca="true" t="shared" si="7" ref="O61:O73">IF(($E$37/$O$57*$D41)-($F61*($D61*500*$E61))/3&lt;($D61*100*$E61),0,(($E$37/$O$57*$D41)-(F61*($D61*500*$E61)))/3)</f>
        <v>150.25695525114156</v>
      </c>
      <c r="P61" s="91">
        <f aca="true" t="shared" si="8" ref="P61:P73">IF((($E$37/$O$57*$D41)-($F61*($D61*500*$E61))-($G61*($D61*100*$E61)))/2&lt;($D61*10*$E61),0,((($E$37/$O$57*$D41)-($F61*($D61*500*$E61))-($G61*($D61*100*$E61))))/2)</f>
        <v>150.38543287671234</v>
      </c>
      <c r="Q61" s="91">
        <f aca="true" t="shared" si="9" ref="Q61:Q73">($E$37/$O$57*$D41)-($F61*($D61*500*$E61))-($G61*($D61*100*$E61))-($H61*($D61*10*$E61))</f>
        <v>150.7708657534247</v>
      </c>
      <c r="R61" s="269"/>
      <c r="S61" s="269"/>
    </row>
    <row r="62" spans="2:19" ht="13.5">
      <c r="B62" s="413"/>
      <c r="C62" s="410" t="str">
        <f t="shared" si="0"/>
        <v>Heavy Infantry</v>
      </c>
      <c r="D62" s="512">
        <v>0.75</v>
      </c>
      <c r="E62" s="513">
        <v>1</v>
      </c>
      <c r="F62" s="373">
        <f t="shared" si="1"/>
        <v>0</v>
      </c>
      <c r="G62" s="374">
        <f t="shared" si="2"/>
        <v>2</v>
      </c>
      <c r="H62" s="374">
        <f t="shared" si="3"/>
        <v>16</v>
      </c>
      <c r="I62" s="375">
        <f t="shared" si="4"/>
        <v>152</v>
      </c>
      <c r="J62" s="376">
        <f t="shared" si="5"/>
        <v>384</v>
      </c>
      <c r="N62" s="91">
        <f t="shared" si="6"/>
        <v>0</v>
      </c>
      <c r="O62" s="91">
        <f t="shared" si="7"/>
        <v>127.94908127853883</v>
      </c>
      <c r="P62" s="91">
        <f t="shared" si="8"/>
        <v>116.92362191780825</v>
      </c>
      <c r="Q62" s="91">
        <f t="shared" si="9"/>
        <v>113.8472438356165</v>
      </c>
      <c r="R62" s="269"/>
      <c r="S62" s="269"/>
    </row>
    <row r="63" spans="2:19" ht="13.5">
      <c r="B63" s="286"/>
      <c r="C63" s="409" t="str">
        <f t="shared" si="0"/>
        <v>Shortbowmen</v>
      </c>
      <c r="D63" s="512">
        <v>1.25</v>
      </c>
      <c r="E63" s="513">
        <v>0.5</v>
      </c>
      <c r="F63" s="283">
        <f t="shared" si="1"/>
        <v>0</v>
      </c>
      <c r="G63" s="284">
        <f t="shared" si="2"/>
        <v>2</v>
      </c>
      <c r="H63" s="284">
        <f t="shared" si="3"/>
        <v>21</v>
      </c>
      <c r="I63" s="285">
        <f t="shared" si="4"/>
        <v>204</v>
      </c>
      <c r="J63" s="344">
        <f t="shared" si="5"/>
        <v>383.75</v>
      </c>
      <c r="N63" s="91">
        <f t="shared" si="6"/>
        <v>0</v>
      </c>
      <c r="O63" s="91">
        <f t="shared" si="7"/>
        <v>127.94908127853883</v>
      </c>
      <c r="P63" s="91">
        <f t="shared" si="8"/>
        <v>129.42362191780825</v>
      </c>
      <c r="Q63" s="91">
        <f t="shared" si="9"/>
        <v>127.5972438356165</v>
      </c>
      <c r="R63" s="269"/>
      <c r="S63" s="269"/>
    </row>
    <row r="64" spans="2:19" ht="13.5">
      <c r="B64" s="286"/>
      <c r="C64" s="409" t="str">
        <f t="shared" si="0"/>
        <v>Longbowmen</v>
      </c>
      <c r="D64" s="512">
        <v>2.5</v>
      </c>
      <c r="E64" s="513">
        <v>0.5</v>
      </c>
      <c r="F64" s="283">
        <f t="shared" si="1"/>
        <v>0</v>
      </c>
      <c r="G64" s="284">
        <f t="shared" si="2"/>
        <v>0</v>
      </c>
      <c r="H64" s="284">
        <f t="shared" si="3"/>
        <v>0</v>
      </c>
      <c r="I64" s="285">
        <f t="shared" si="4"/>
        <v>0</v>
      </c>
      <c r="J64" s="344">
        <f t="shared" si="5"/>
        <v>0</v>
      </c>
      <c r="N64" s="91">
        <f t="shared" si="6"/>
        <v>0</v>
      </c>
      <c r="O64" s="91">
        <f t="shared" si="7"/>
        <v>0</v>
      </c>
      <c r="P64" s="91">
        <f t="shared" si="8"/>
        <v>0</v>
      </c>
      <c r="Q64" s="91">
        <f t="shared" si="9"/>
        <v>0</v>
      </c>
      <c r="R64" s="269"/>
      <c r="S64" s="269"/>
    </row>
    <row r="65" spans="2:19" ht="13.5">
      <c r="B65" s="286"/>
      <c r="C65" s="409" t="str">
        <f t="shared" si="0"/>
        <v>Mounted Archers</v>
      </c>
      <c r="D65" s="512">
        <v>3.75</v>
      </c>
      <c r="E65" s="513">
        <v>1</v>
      </c>
      <c r="F65" s="283">
        <f t="shared" si="1"/>
        <v>0</v>
      </c>
      <c r="G65" s="284">
        <f t="shared" si="2"/>
        <v>0</v>
      </c>
      <c r="H65" s="284">
        <f t="shared" si="3"/>
        <v>0</v>
      </c>
      <c r="I65" s="285">
        <f t="shared" si="4"/>
        <v>0</v>
      </c>
      <c r="J65" s="344">
        <f t="shared" si="5"/>
        <v>0</v>
      </c>
      <c r="N65" s="91">
        <f t="shared" si="6"/>
        <v>0</v>
      </c>
      <c r="O65" s="91">
        <f t="shared" si="7"/>
        <v>0</v>
      </c>
      <c r="P65" s="91">
        <f t="shared" si="8"/>
        <v>0</v>
      </c>
      <c r="Q65" s="91">
        <f t="shared" si="9"/>
        <v>0</v>
      </c>
      <c r="R65" s="269"/>
      <c r="S65" s="269"/>
    </row>
    <row r="66" spans="2:19" ht="13.5">
      <c r="B66" s="286"/>
      <c r="C66" s="409" t="str">
        <f t="shared" si="0"/>
        <v>Lt Crossbowmen</v>
      </c>
      <c r="D66" s="512">
        <v>0.75</v>
      </c>
      <c r="E66" s="513">
        <v>0.5</v>
      </c>
      <c r="F66" s="283">
        <f t="shared" si="1"/>
        <v>0</v>
      </c>
      <c r="G66" s="284">
        <f t="shared" si="2"/>
        <v>0</v>
      </c>
      <c r="H66" s="284">
        <f t="shared" si="3"/>
        <v>0</v>
      </c>
      <c r="I66" s="285">
        <f t="shared" si="4"/>
        <v>0</v>
      </c>
      <c r="J66" s="344">
        <f t="shared" si="5"/>
        <v>0</v>
      </c>
      <c r="N66" s="91">
        <f t="shared" si="6"/>
        <v>0</v>
      </c>
      <c r="O66" s="91">
        <f t="shared" si="7"/>
        <v>0</v>
      </c>
      <c r="P66" s="91">
        <f t="shared" si="8"/>
        <v>0</v>
      </c>
      <c r="Q66" s="91">
        <f t="shared" si="9"/>
        <v>0</v>
      </c>
      <c r="R66" s="269"/>
      <c r="S66" s="269"/>
    </row>
    <row r="67" spans="2:19" ht="13.5">
      <c r="B67" s="413"/>
      <c r="C67" s="410" t="str">
        <f t="shared" si="0"/>
        <v>Hv Crossbowmen</v>
      </c>
      <c r="D67" s="512">
        <v>1</v>
      </c>
      <c r="E67" s="513">
        <v>1</v>
      </c>
      <c r="F67" s="373">
        <f t="shared" si="1"/>
        <v>0</v>
      </c>
      <c r="G67" s="374">
        <f t="shared" si="2"/>
        <v>0</v>
      </c>
      <c r="H67" s="374">
        <f t="shared" si="3"/>
        <v>0</v>
      </c>
      <c r="I67" s="375">
        <f t="shared" si="4"/>
        <v>0</v>
      </c>
      <c r="J67" s="376">
        <f t="shared" si="5"/>
        <v>0</v>
      </c>
      <c r="N67" s="91">
        <f t="shared" si="6"/>
        <v>0</v>
      </c>
      <c r="O67" s="91">
        <f t="shared" si="7"/>
        <v>0</v>
      </c>
      <c r="P67" s="91">
        <f t="shared" si="8"/>
        <v>0</v>
      </c>
      <c r="Q67" s="91">
        <f t="shared" si="9"/>
        <v>0</v>
      </c>
      <c r="R67" s="269"/>
      <c r="S67" s="269"/>
    </row>
    <row r="68" spans="2:19" ht="13.5">
      <c r="B68" s="286"/>
      <c r="C68" s="409" t="str">
        <f t="shared" si="0"/>
        <v>Light Horse Cav</v>
      </c>
      <c r="D68" s="512">
        <v>2.5</v>
      </c>
      <c r="E68" s="513">
        <v>1</v>
      </c>
      <c r="F68" s="283">
        <f aca="true" t="shared" si="10" ref="F68:F74">ROUND(N68/(($D68*$E68)*500),0)</f>
        <v>0</v>
      </c>
      <c r="G68" s="284">
        <f aca="true" t="shared" si="11" ref="G68:G74">ROUND(O68/(($D68*$E68)*100),0)</f>
        <v>1</v>
      </c>
      <c r="H68" s="284">
        <f aca="true" t="shared" si="12" ref="H68:H74">ROUND(P68/(($D68*$E68)*10),0)</f>
        <v>4</v>
      </c>
      <c r="I68" s="285">
        <f aca="true" t="shared" si="13" ref="I68:I74">ROUND(Q68/($D68*$E68),0)</f>
        <v>44</v>
      </c>
      <c r="J68" s="344">
        <f aca="true" t="shared" si="14" ref="J68:J74">((F68*500)*($D68*$E68))+(((G68)*100)*($D68*$E68))+(((H68)*10)*($D68*$E68))+((I68)*($D68*$E68))</f>
        <v>460</v>
      </c>
      <c r="N68" s="91">
        <f t="shared" si="6"/>
        <v>0</v>
      </c>
      <c r="O68" s="91">
        <f t="shared" si="7"/>
        <v>153.5388975342466</v>
      </c>
      <c r="P68" s="91">
        <f t="shared" si="8"/>
        <v>105.30834630136988</v>
      </c>
      <c r="Q68" s="91">
        <f t="shared" si="9"/>
        <v>110.61669260273976</v>
      </c>
      <c r="R68" s="269"/>
      <c r="S68" s="269"/>
    </row>
    <row r="69" spans="2:19" ht="13.5">
      <c r="B69" s="286"/>
      <c r="C69" s="409" t="str">
        <f t="shared" si="0"/>
        <v>Medium Horse Cav</v>
      </c>
      <c r="D69" s="512">
        <v>3.75</v>
      </c>
      <c r="E69" s="513">
        <v>2</v>
      </c>
      <c r="F69" s="283">
        <f t="shared" si="10"/>
        <v>0</v>
      </c>
      <c r="G69" s="284">
        <f t="shared" si="11"/>
        <v>0</v>
      </c>
      <c r="H69" s="284">
        <f t="shared" si="12"/>
        <v>0</v>
      </c>
      <c r="I69" s="285">
        <f t="shared" si="13"/>
        <v>0</v>
      </c>
      <c r="J69" s="344">
        <f t="shared" si="14"/>
        <v>0</v>
      </c>
      <c r="N69" s="91">
        <f t="shared" si="6"/>
        <v>0</v>
      </c>
      <c r="O69" s="91">
        <f t="shared" si="7"/>
        <v>0</v>
      </c>
      <c r="P69" s="91">
        <f t="shared" si="8"/>
        <v>0</v>
      </c>
      <c r="Q69" s="91">
        <f t="shared" si="9"/>
        <v>0</v>
      </c>
      <c r="R69" s="269"/>
      <c r="S69" s="269"/>
    </row>
    <row r="70" spans="2:19" ht="13.5">
      <c r="B70" s="286"/>
      <c r="C70" s="409" t="str">
        <f t="shared" si="0"/>
        <v>Heavy Horse Cav</v>
      </c>
      <c r="D70" s="512">
        <v>5</v>
      </c>
      <c r="E70" s="513">
        <v>3</v>
      </c>
      <c r="F70" s="283">
        <f t="shared" si="10"/>
        <v>0</v>
      </c>
      <c r="G70" s="284">
        <f t="shared" si="11"/>
        <v>0</v>
      </c>
      <c r="H70" s="284">
        <f t="shared" si="12"/>
        <v>0</v>
      </c>
      <c r="I70" s="285">
        <f t="shared" si="13"/>
        <v>0</v>
      </c>
      <c r="J70" s="344">
        <f t="shared" si="14"/>
        <v>0</v>
      </c>
      <c r="N70" s="91">
        <f t="shared" si="6"/>
        <v>0</v>
      </c>
      <c r="O70" s="91">
        <f t="shared" si="7"/>
        <v>0</v>
      </c>
      <c r="P70" s="91">
        <f t="shared" si="8"/>
        <v>0</v>
      </c>
      <c r="Q70" s="91">
        <f t="shared" si="9"/>
        <v>0</v>
      </c>
      <c r="R70" s="269"/>
      <c r="S70" s="269"/>
    </row>
    <row r="71" spans="2:19" ht="13.5">
      <c r="B71" s="286"/>
      <c r="C71" s="409" t="str">
        <f t="shared" si="0"/>
        <v>Elephant Cav</v>
      </c>
      <c r="D71" s="512">
        <v>6.25</v>
      </c>
      <c r="E71" s="513">
        <v>1</v>
      </c>
      <c r="F71" s="283">
        <f t="shared" si="10"/>
        <v>0</v>
      </c>
      <c r="G71" s="284">
        <f t="shared" si="11"/>
        <v>0</v>
      </c>
      <c r="H71" s="284">
        <f t="shared" si="12"/>
        <v>3</v>
      </c>
      <c r="I71" s="285">
        <f t="shared" si="13"/>
        <v>31</v>
      </c>
      <c r="J71" s="344">
        <f t="shared" si="14"/>
        <v>381.25</v>
      </c>
      <c r="N71" s="91">
        <f t="shared" si="6"/>
        <v>0</v>
      </c>
      <c r="O71" s="91">
        <f t="shared" si="7"/>
        <v>0</v>
      </c>
      <c r="P71" s="91">
        <f t="shared" si="8"/>
        <v>191.92362191780825</v>
      </c>
      <c r="Q71" s="91">
        <f t="shared" si="9"/>
        <v>196.3472438356165</v>
      </c>
      <c r="R71" s="269"/>
      <c r="S71" s="269"/>
    </row>
    <row r="72" spans="2:19" ht="13.5">
      <c r="B72" s="423"/>
      <c r="C72" s="424" t="str">
        <f t="shared" si="0"/>
        <v>Pegasi Cav</v>
      </c>
      <c r="D72" s="512">
        <v>7.5</v>
      </c>
      <c r="E72" s="513">
        <v>5</v>
      </c>
      <c r="F72" s="283">
        <f t="shared" si="10"/>
        <v>0</v>
      </c>
      <c r="G72" s="284">
        <f t="shared" si="11"/>
        <v>0</v>
      </c>
      <c r="H72" s="284">
        <f t="shared" si="12"/>
        <v>0</v>
      </c>
      <c r="I72" s="285">
        <f t="shared" si="13"/>
        <v>0</v>
      </c>
      <c r="J72" s="344">
        <f t="shared" si="14"/>
        <v>0</v>
      </c>
      <c r="N72" s="91">
        <f t="shared" si="6"/>
        <v>0</v>
      </c>
      <c r="O72" s="91">
        <f t="shared" si="7"/>
        <v>0</v>
      </c>
      <c r="P72" s="91">
        <f t="shared" si="8"/>
        <v>0</v>
      </c>
      <c r="Q72" s="91">
        <f t="shared" si="9"/>
        <v>0</v>
      </c>
      <c r="R72" s="269"/>
      <c r="S72" s="269"/>
    </row>
    <row r="73" spans="2:19" ht="13.5">
      <c r="B73" s="425"/>
      <c r="C73" s="426" t="str">
        <f t="shared" si="0"/>
        <v>Wyvern Cav</v>
      </c>
      <c r="D73" s="512">
        <v>8.75</v>
      </c>
      <c r="E73" s="513">
        <v>6</v>
      </c>
      <c r="F73" s="373">
        <f t="shared" si="10"/>
        <v>0</v>
      </c>
      <c r="G73" s="374">
        <f t="shared" si="11"/>
        <v>0</v>
      </c>
      <c r="H73" s="374">
        <f t="shared" si="12"/>
        <v>0</v>
      </c>
      <c r="I73" s="375">
        <f t="shared" si="13"/>
        <v>0</v>
      </c>
      <c r="J73" s="376">
        <f t="shared" si="14"/>
        <v>0</v>
      </c>
      <c r="N73" s="91">
        <f t="shared" si="6"/>
        <v>0</v>
      </c>
      <c r="O73" s="91">
        <f t="shared" si="7"/>
        <v>0</v>
      </c>
      <c r="P73" s="91">
        <f t="shared" si="8"/>
        <v>0</v>
      </c>
      <c r="Q73" s="91">
        <f t="shared" si="9"/>
        <v>0</v>
      </c>
      <c r="R73" s="269"/>
      <c r="S73" s="269"/>
    </row>
    <row r="74" spans="2:19" ht="13.5">
      <c r="B74" s="286"/>
      <c r="C74" s="520" t="str">
        <f aca="true" t="shared" si="15" ref="C74:C85">F41</f>
        <v>Spellcasters</v>
      </c>
      <c r="D74" s="514">
        <v>3</v>
      </c>
      <c r="E74" s="515">
        <v>3</v>
      </c>
      <c r="F74" s="370">
        <f t="shared" si="10"/>
        <v>0</v>
      </c>
      <c r="G74" s="371">
        <f t="shared" si="11"/>
        <v>0</v>
      </c>
      <c r="H74" s="371">
        <f t="shared" si="12"/>
        <v>2</v>
      </c>
      <c r="I74" s="372">
        <f t="shared" si="13"/>
        <v>23</v>
      </c>
      <c r="J74" s="344">
        <f t="shared" si="14"/>
        <v>387</v>
      </c>
      <c r="N74" s="91">
        <f aca="true" t="shared" si="16" ref="N74:N81">IF(($E$37/$O$57*$H41)/4&lt;($D74*500*$E74),0,($E$37/$O$57*$H41)/4)</f>
        <v>0</v>
      </c>
      <c r="O74" s="91">
        <f aca="true" t="shared" si="17" ref="O74:O81">IF(($E$37/$O$57*$H41)-($F74*($D74*500*$E74))/3&lt;($D74*100*$E74),0,(($E$37/$O$57*$H41)-(F74*($D74*500*$E74)))/3)</f>
        <v>0</v>
      </c>
      <c r="P74" s="91">
        <f aca="true" t="shared" si="18" ref="P74:P81">IF((($E$37/$O$57*$H41)-($F74*($D74*500*$E74))-($G74*($D74*100*$E74)))/2&lt;($D74*10*$E74),0,((($E$37/$O$57*$H41)-($F74*($D74*500*$E74))-($G74*($D74*100*$E74))))/2)</f>
        <v>191.92362191780825</v>
      </c>
      <c r="Q74" s="91">
        <f aca="true" t="shared" si="19" ref="Q74:Q81">($E$37/$O$57*$H41)-($F74*($D74*500*$E74))-($G74*($D74*100*$E74))-($H74*($D74*10*$E74))</f>
        <v>203.8472438356165</v>
      </c>
      <c r="R74" s="269"/>
      <c r="S74" s="269"/>
    </row>
    <row r="75" spans="2:19" ht="13.5">
      <c r="B75" s="286"/>
      <c r="C75" s="520" t="str">
        <f t="shared" si="15"/>
        <v>Monsters (specify)</v>
      </c>
      <c r="D75" s="514">
        <v>1</v>
      </c>
      <c r="E75" s="515">
        <v>1</v>
      </c>
      <c r="F75" s="370">
        <f>ROUND(N75/(($D75*$E75)*500),0)</f>
        <v>0</v>
      </c>
      <c r="G75" s="371">
        <f>ROUND(O75/(($D75*$E75)*100),0)</f>
        <v>0</v>
      </c>
      <c r="H75" s="371">
        <f>ROUND(P75/(($D75*$E75)*10),0)</f>
        <v>0</v>
      </c>
      <c r="I75" s="372">
        <f>ROUND(Q75/($D75*$E75),0)</f>
        <v>0</v>
      </c>
      <c r="J75" s="344">
        <f aca="true" t="shared" si="20" ref="J75:J80">((F75*500)*($D75*$E75))+(((G75)*100)*($D75*$E75))+(((H75)*10)*($D75*$E75))+((I75)*($D75*$E75))</f>
        <v>0</v>
      </c>
      <c r="N75" s="91">
        <f t="shared" si="16"/>
        <v>0</v>
      </c>
      <c r="O75" s="91">
        <f t="shared" si="17"/>
        <v>0</v>
      </c>
      <c r="P75" s="91">
        <f t="shared" si="18"/>
        <v>0</v>
      </c>
      <c r="Q75" s="91">
        <f t="shared" si="19"/>
        <v>0</v>
      </c>
      <c r="R75" s="269"/>
      <c r="S75" s="269"/>
    </row>
    <row r="76" spans="2:19" ht="13.5">
      <c r="B76" s="286"/>
      <c r="C76" s="520" t="str">
        <f t="shared" si="15"/>
        <v>Monsters (specify)</v>
      </c>
      <c r="D76" s="514">
        <v>1</v>
      </c>
      <c r="E76" s="515">
        <v>1</v>
      </c>
      <c r="F76" s="370">
        <f>ROUND(N76/(($D76*$E76)*500),0)</f>
        <v>0</v>
      </c>
      <c r="G76" s="371">
        <f>ROUND(O76/(($D76*$E76)*100),0)</f>
        <v>0</v>
      </c>
      <c r="H76" s="371">
        <f>ROUND(P76/(($D76*$E76)*10),0)</f>
        <v>0</v>
      </c>
      <c r="I76" s="372">
        <f>ROUND(Q76/($D76*$E76),0)</f>
        <v>0</v>
      </c>
      <c r="J76" s="344">
        <f t="shared" si="20"/>
        <v>0</v>
      </c>
      <c r="N76" s="91">
        <f t="shared" si="16"/>
        <v>0</v>
      </c>
      <c r="O76" s="91">
        <f t="shared" si="17"/>
        <v>0</v>
      </c>
      <c r="P76" s="91">
        <f t="shared" si="18"/>
        <v>0</v>
      </c>
      <c r="Q76" s="91">
        <f t="shared" si="19"/>
        <v>0</v>
      </c>
      <c r="R76" s="269"/>
      <c r="S76" s="269"/>
    </row>
    <row r="77" spans="2:19" ht="13.5">
      <c r="B77" s="413"/>
      <c r="C77" s="521" t="str">
        <f t="shared" si="15"/>
        <v>Monsters (specify)</v>
      </c>
      <c r="D77" s="514">
        <v>1</v>
      </c>
      <c r="E77" s="515">
        <v>1</v>
      </c>
      <c r="F77" s="377">
        <f>ROUND(N77/(($D77*$E77)*500),0)</f>
        <v>0</v>
      </c>
      <c r="G77" s="378">
        <f>ROUND(O77/(($D77*$E77)*100),0)</f>
        <v>0</v>
      </c>
      <c r="H77" s="378">
        <f>ROUND(P77/(($D77*$E77)*10),0)</f>
        <v>0</v>
      </c>
      <c r="I77" s="379">
        <f>ROUND(Q77/($D77*$E77),0)</f>
        <v>0</v>
      </c>
      <c r="J77" s="376">
        <f t="shared" si="20"/>
        <v>0</v>
      </c>
      <c r="N77" s="91">
        <f t="shared" si="16"/>
        <v>0</v>
      </c>
      <c r="O77" s="91">
        <f t="shared" si="17"/>
        <v>0</v>
      </c>
      <c r="P77" s="91">
        <f t="shared" si="18"/>
        <v>0</v>
      </c>
      <c r="Q77" s="91">
        <f t="shared" si="19"/>
        <v>0</v>
      </c>
      <c r="R77" s="269"/>
      <c r="S77" s="269"/>
    </row>
    <row r="78" spans="2:19" ht="13.5">
      <c r="B78" s="286"/>
      <c r="C78" s="409" t="str">
        <f t="shared" si="15"/>
        <v>Ballista Crews</v>
      </c>
      <c r="D78" s="512">
        <v>3.5</v>
      </c>
      <c r="E78" s="513">
        <v>0.5</v>
      </c>
      <c r="F78" s="283">
        <f aca="true" t="shared" si="21" ref="F78:F86">ROUND(N78/(($D78*$E78)*500),0)</f>
        <v>0</v>
      </c>
      <c r="G78" s="284">
        <f aca="true" t="shared" si="22" ref="G78:G86">ROUND(O78/(($D78*$E78)*100),0)</f>
        <v>0</v>
      </c>
      <c r="H78" s="284">
        <f aca="true" t="shared" si="23" ref="H78:H86">ROUND(P78/(($D78*$E78)*10),0)</f>
        <v>3</v>
      </c>
      <c r="I78" s="285">
        <f aca="true" t="shared" si="24" ref="I78:I86">ROUND(Q78/($D78*$E78),0)</f>
        <v>36</v>
      </c>
      <c r="J78" s="344">
        <f t="shared" si="20"/>
        <v>115.5</v>
      </c>
      <c r="N78" s="91">
        <f t="shared" si="16"/>
        <v>0</v>
      </c>
      <c r="O78" s="91">
        <f t="shared" si="17"/>
        <v>0</v>
      </c>
      <c r="P78" s="91">
        <f t="shared" si="18"/>
        <v>57.57708657534247</v>
      </c>
      <c r="Q78" s="91">
        <f t="shared" si="19"/>
        <v>62.65417315068494</v>
      </c>
      <c r="R78" s="269"/>
      <c r="S78" s="269"/>
    </row>
    <row r="79" spans="2:19" ht="13.5">
      <c r="B79" s="286"/>
      <c r="C79" s="409" t="str">
        <f t="shared" si="15"/>
        <v>Lt Catapult Crews</v>
      </c>
      <c r="D79" s="516">
        <v>4</v>
      </c>
      <c r="E79" s="517">
        <v>0.5</v>
      </c>
      <c r="F79" s="283">
        <f t="shared" si="21"/>
        <v>0</v>
      </c>
      <c r="G79" s="284">
        <f t="shared" si="22"/>
        <v>0</v>
      </c>
      <c r="H79" s="284">
        <f t="shared" si="23"/>
        <v>2</v>
      </c>
      <c r="I79" s="285">
        <f t="shared" si="24"/>
        <v>18</v>
      </c>
      <c r="J79" s="344">
        <f t="shared" si="20"/>
        <v>76</v>
      </c>
      <c r="N79" s="91">
        <f t="shared" si="16"/>
        <v>0</v>
      </c>
      <c r="O79" s="91">
        <f t="shared" si="17"/>
        <v>0</v>
      </c>
      <c r="P79" s="91">
        <f t="shared" si="18"/>
        <v>38.384724383561654</v>
      </c>
      <c r="Q79" s="91">
        <f t="shared" si="19"/>
        <v>36.76944876712331</v>
      </c>
      <c r="R79" s="269"/>
      <c r="S79" s="269"/>
    </row>
    <row r="80" spans="2:19" ht="13.5">
      <c r="B80" s="286"/>
      <c r="C80" s="409" t="str">
        <f t="shared" si="15"/>
        <v>Hv Catapult Crews</v>
      </c>
      <c r="D80" s="516">
        <v>4.5</v>
      </c>
      <c r="E80" s="517">
        <v>1</v>
      </c>
      <c r="F80" s="283">
        <f t="shared" si="21"/>
        <v>0</v>
      </c>
      <c r="G80" s="284">
        <f t="shared" si="22"/>
        <v>0</v>
      </c>
      <c r="H80" s="284">
        <f t="shared" si="23"/>
        <v>0</v>
      </c>
      <c r="I80" s="285">
        <f t="shared" si="24"/>
        <v>0</v>
      </c>
      <c r="J80" s="344">
        <f t="shared" si="20"/>
        <v>0</v>
      </c>
      <c r="N80" s="91">
        <f t="shared" si="16"/>
        <v>0</v>
      </c>
      <c r="O80" s="91">
        <f t="shared" si="17"/>
        <v>0</v>
      </c>
      <c r="P80" s="91">
        <f t="shared" si="18"/>
        <v>0</v>
      </c>
      <c r="Q80" s="91">
        <f t="shared" si="19"/>
        <v>0</v>
      </c>
      <c r="R80" s="269"/>
      <c r="S80" s="269"/>
    </row>
    <row r="81" spans="2:19" ht="13.5">
      <c r="B81" s="286"/>
      <c r="C81" s="409" t="str">
        <f t="shared" si="15"/>
        <v>Trebuchet Crews</v>
      </c>
      <c r="D81" s="516">
        <v>5</v>
      </c>
      <c r="E81" s="517">
        <v>1</v>
      </c>
      <c r="F81" s="283">
        <f t="shared" si="21"/>
        <v>0</v>
      </c>
      <c r="G81" s="284">
        <f t="shared" si="22"/>
        <v>0</v>
      </c>
      <c r="H81" s="284">
        <f t="shared" si="23"/>
        <v>0</v>
      </c>
      <c r="I81" s="285">
        <f t="shared" si="24"/>
        <v>0</v>
      </c>
      <c r="J81" s="344">
        <f aca="true" t="shared" si="25" ref="J81:J86">((F81*500)*($D81*$E81))+(((G81)*100)*($D81*$E81))+(((H81)*10)*($D81*$E81))+((I81)*($D81*$E81))</f>
        <v>0</v>
      </c>
      <c r="N81" s="91">
        <f t="shared" si="16"/>
        <v>0</v>
      </c>
      <c r="O81" s="91">
        <f t="shared" si="17"/>
        <v>0</v>
      </c>
      <c r="P81" s="91">
        <f t="shared" si="18"/>
        <v>0</v>
      </c>
      <c r="Q81" s="91">
        <f t="shared" si="19"/>
        <v>0</v>
      </c>
      <c r="R81" s="269"/>
      <c r="S81" s="269"/>
    </row>
    <row r="82" spans="2:19" ht="13.5">
      <c r="B82" s="423"/>
      <c r="C82" s="424" t="str">
        <f t="shared" si="15"/>
        <v>War Machine, Mediocre</v>
      </c>
      <c r="D82" s="516">
        <v>2.25</v>
      </c>
      <c r="E82" s="517">
        <v>1</v>
      </c>
      <c r="F82" s="418">
        <f t="shared" si="21"/>
        <v>0</v>
      </c>
      <c r="G82" s="419">
        <f t="shared" si="22"/>
        <v>0</v>
      </c>
      <c r="H82" s="419">
        <f t="shared" si="23"/>
        <v>0</v>
      </c>
      <c r="I82" s="420">
        <f t="shared" si="24"/>
        <v>0</v>
      </c>
      <c r="J82" s="421">
        <f t="shared" si="25"/>
        <v>0</v>
      </c>
      <c r="N82" s="91">
        <f>IF(($E$37/$O$57*$H49)/4&lt;($D82*500*$E82),0,($E$37/$O$57*$H49)/4)</f>
        <v>0</v>
      </c>
      <c r="O82" s="91">
        <f>IF(($E$37/$O$57*$H49)-($F82*($D82*500*$E82))/3&lt;($D82*100*$E82),0,(($E$37/$O$57*$H49)-(F82*($D82*500*$E82)))/3)</f>
        <v>0</v>
      </c>
      <c r="P82" s="91">
        <f>IF((($E$37/$O$57*$H49)-($F82*($D82*500*$E82))-($G82*($D82*100*$E82)))/2&lt;($D82*10*$E82),0,((($E$37/$O$57*$H49)-($F82*($D82*500*$E82))-($G82*($D82*100*$E82))))/2)</f>
        <v>0</v>
      </c>
      <c r="Q82" s="91">
        <f>($E$37/$O$57*$H49)-($F82*($D82*500*$E82))-($G82*($D82*100*$E82))-($H82*($D82*10*$E82))</f>
        <v>0</v>
      </c>
      <c r="R82" s="269"/>
      <c r="S82" s="269"/>
    </row>
    <row r="83" spans="2:19" ht="13.5">
      <c r="B83" s="423"/>
      <c r="C83" s="424" t="str">
        <f t="shared" si="15"/>
        <v>War Machine, Fair</v>
      </c>
      <c r="D83" s="516">
        <v>2.5</v>
      </c>
      <c r="E83" s="517">
        <v>1</v>
      </c>
      <c r="F83" s="418">
        <f t="shared" si="21"/>
        <v>0</v>
      </c>
      <c r="G83" s="419">
        <f t="shared" si="22"/>
        <v>0</v>
      </c>
      <c r="H83" s="419">
        <f t="shared" si="23"/>
        <v>0</v>
      </c>
      <c r="I83" s="420">
        <f t="shared" si="24"/>
        <v>0</v>
      </c>
      <c r="J83" s="421">
        <f t="shared" si="25"/>
        <v>0</v>
      </c>
      <c r="N83" s="91">
        <f>IF(($E$37/$O$57*$H50)/4&lt;($D83*500*$E83),0,($E$37/$O$57*$H50)/4)</f>
        <v>0</v>
      </c>
      <c r="O83" s="91">
        <f>IF(($E$37/$O$57*$H50)-($F83*($D83*500*$E83))/3&lt;($D83*100*$E83),0,(($E$37/$O$57*$H50)-(F83*($D83*500*$E83)))/3)</f>
        <v>0</v>
      </c>
      <c r="P83" s="91">
        <f>IF((($E$37/$O$57*$H50)-($F83*($D83*500*$E83))-($G83*($D83*100*$E83)))/2&lt;($D83*10*$E83),0,((($E$37/$O$57*$H50)-($F83*($D83*500*$E83))-($G83*($D83*100*$E83))))/2)</f>
        <v>0</v>
      </c>
      <c r="Q83" s="91">
        <f>($E$37/$O$57*$H50)-($F83*($D83*500*$E83))-($G83*($D83*100*$E83))-($H83*($D83*10*$E83))</f>
        <v>0</v>
      </c>
      <c r="R83" s="269"/>
      <c r="S83" s="269"/>
    </row>
    <row r="84" spans="2:19" ht="13.5">
      <c r="B84" s="423"/>
      <c r="C84" s="424" t="str">
        <f t="shared" si="15"/>
        <v>War Machine, Good</v>
      </c>
      <c r="D84" s="516">
        <v>2.75</v>
      </c>
      <c r="E84" s="517">
        <v>1</v>
      </c>
      <c r="F84" s="418">
        <f t="shared" si="21"/>
        <v>0</v>
      </c>
      <c r="G84" s="419">
        <f t="shared" si="22"/>
        <v>0</v>
      </c>
      <c r="H84" s="419">
        <f t="shared" si="23"/>
        <v>0</v>
      </c>
      <c r="I84" s="420">
        <f t="shared" si="24"/>
        <v>0</v>
      </c>
      <c r="J84" s="421">
        <f t="shared" si="25"/>
        <v>0</v>
      </c>
      <c r="N84" s="91">
        <f>IF(($E$37/$O$57*$H51)/4&lt;($D84*500*$E84),0,($E$37/$O$57*$H51)/4)</f>
        <v>0</v>
      </c>
      <c r="O84" s="91">
        <f>IF(($E$37/$O$57*$H51)-($F84*($D84*500*$E84))/3&lt;($D84*100*$E84),0,(($E$37/$O$57*$H51)-(F84*($D84*500*$E84)))/3)</f>
        <v>0</v>
      </c>
      <c r="P84" s="91">
        <f>IF((($E$37/$O$57*$H51)-($F84*($D84*500*$E84))-($G84*($D84*100*$E84)))/2&lt;($D84*10*$E84),0,((($E$37/$O$57*$H51)-($F84*($D84*500*$E84))-($G84*($D84*100*$E84))))/2)</f>
        <v>0</v>
      </c>
      <c r="Q84" s="91">
        <f>($E$37/$O$57*$H51)-($F84*($D84*500*$E84))-($G84*($D84*100*$E84))-($H84*($D84*10*$E84))</f>
        <v>0</v>
      </c>
      <c r="R84" s="269"/>
      <c r="S84" s="269"/>
    </row>
    <row r="85" spans="2:19" ht="13.5">
      <c r="B85" s="423"/>
      <c r="C85" s="424" t="str">
        <f t="shared" si="15"/>
        <v>War Machine, Excellent</v>
      </c>
      <c r="D85" s="516">
        <v>3</v>
      </c>
      <c r="E85" s="517">
        <v>1</v>
      </c>
      <c r="F85" s="418">
        <f t="shared" si="21"/>
        <v>0</v>
      </c>
      <c r="G85" s="419">
        <f t="shared" si="22"/>
        <v>0</v>
      </c>
      <c r="H85" s="419">
        <f t="shared" si="23"/>
        <v>0</v>
      </c>
      <c r="I85" s="420">
        <f t="shared" si="24"/>
        <v>0</v>
      </c>
      <c r="J85" s="421">
        <f t="shared" si="25"/>
        <v>0</v>
      </c>
      <c r="N85" s="91">
        <f>IF(($E$37/$O$57*$H52)/4&lt;($D85*500*$E85),0,($E$37/$O$57*$H52)/4)</f>
        <v>0</v>
      </c>
      <c r="O85" s="91">
        <f>IF(($E$37/$O$57*$H52)-($F85*($D85*500*$E85))/3&lt;($D85*100*$E85),0,(($E$37/$O$57*$H52)-(F85*($D85*500*$E85)))/3)</f>
        <v>0</v>
      </c>
      <c r="P85" s="91">
        <f>IF((($E$37/$O$57*$H52)-($F85*($D85*500*$E85))-($G85*($D85*100*$E85)))/2&lt;($D85*10*$E85),0,((($E$37/$O$57*$H52)-($F85*($D85*500*$E85))-($G85*($D85*100*$E85))))/2)</f>
        <v>0</v>
      </c>
      <c r="Q85" s="91">
        <f>($E$37/$O$57*$H52)-($F85*($D85*500*$E85))-($G85*($D85*100*$E85))-($H85*($D85*10*$E85))</f>
        <v>0</v>
      </c>
      <c r="R85" s="269"/>
      <c r="S85" s="269"/>
    </row>
    <row r="86" spans="2:19" ht="14.25" thickBot="1">
      <c r="B86" s="414"/>
      <c r="C86" s="411" t="s">
        <v>314</v>
      </c>
      <c r="D86" s="518">
        <v>0.3</v>
      </c>
      <c r="E86" s="519">
        <v>0.5</v>
      </c>
      <c r="F86" s="402">
        <f t="shared" si="21"/>
        <v>0</v>
      </c>
      <c r="G86" s="403">
        <f t="shared" si="22"/>
        <v>1</v>
      </c>
      <c r="H86" s="403">
        <f t="shared" si="23"/>
        <v>8</v>
      </c>
      <c r="I86" s="404">
        <f t="shared" si="24"/>
        <v>76</v>
      </c>
      <c r="J86" s="405">
        <f t="shared" si="25"/>
        <v>38.4</v>
      </c>
      <c r="N86" s="91">
        <f>IF(($E$37/$O$57*$H53)/4&lt;($D86*500*$E86),0,($E$37/$O$57*$H53)/4)</f>
        <v>0</v>
      </c>
      <c r="O86" s="91">
        <f>IF(($E$37/$O$57*$H53)-($F86*($D86*500*$E86))/3&lt;($D86*100*$E86),0,(($E$37/$O$57*$H53)-(F86*($D86*500*$E86)))/3)</f>
        <v>12.794908127853885</v>
      </c>
      <c r="P86" s="91">
        <f>IF((($E$37/$O$57*$H53)-($F86*($D86*500*$E86))-($G86*($D86*100*$E86)))/2&lt;($D86*10*$E86),0,((($E$37/$O$57*$H53)-($F86*($D86*500*$E86))-($G86*($D86*100*$E86))))/2)</f>
        <v>11.692362191780827</v>
      </c>
      <c r="Q86" s="91">
        <f>($E$37/$O$57*$H53)-($F86*($D86*500*$E86))-($G86*($D86*100*$E86))-($H86*($D86*10*$E86))</f>
        <v>11.384724383561654</v>
      </c>
      <c r="R86" s="269"/>
      <c r="S86" s="269"/>
    </row>
    <row r="87" spans="4:10" ht="14.25" thickBot="1" thickTop="1">
      <c r="D87" s="366"/>
      <c r="E87" s="367" t="s">
        <v>315</v>
      </c>
      <c r="F87" s="338">
        <f>SUM(F61:F86)</f>
        <v>1</v>
      </c>
      <c r="G87" s="338">
        <f>SUM(G61:G86)</f>
        <v>12</v>
      </c>
      <c r="H87" s="338">
        <f>SUM(H61:H86)</f>
        <v>119</v>
      </c>
      <c r="I87" s="338">
        <f>SUM(I61:I86)</f>
        <v>1187</v>
      </c>
      <c r="J87" s="339">
        <f>SUM(J61:J86)</f>
        <v>2801.65</v>
      </c>
    </row>
    <row r="88" spans="13:15" ht="13.5" thickTop="1">
      <c r="M88" s="268"/>
      <c r="N88" s="269"/>
      <c r="O88" s="88"/>
    </row>
    <row r="89" spans="3:15" ht="12.75">
      <c r="C89" s="340" t="s">
        <v>316</v>
      </c>
      <c r="D89" s="341">
        <f>SUM(F87:I87)</f>
        <v>1319</v>
      </c>
      <c r="M89" s="268"/>
      <c r="N89" s="269"/>
      <c r="O89" s="88"/>
    </row>
    <row r="90" spans="6:15" ht="12.75">
      <c r="F90" s="340" t="s">
        <v>317</v>
      </c>
      <c r="G90" s="342">
        <f>SUM(F68:I68)</f>
        <v>49</v>
      </c>
      <c r="I90" s="380"/>
      <c r="J90" s="380" t="str">
        <f>C74</f>
        <v>Spellcasters</v>
      </c>
      <c r="K90" s="381">
        <f>SUM(F74:I74)</f>
        <v>25</v>
      </c>
      <c r="M90" s="268"/>
      <c r="N90" s="269"/>
      <c r="O90" s="88"/>
    </row>
    <row r="91" spans="3:15" ht="12.75">
      <c r="C91" s="340" t="s">
        <v>318</v>
      </c>
      <c r="D91" s="342">
        <f>+$I78/4</f>
        <v>9</v>
      </c>
      <c r="F91" s="340" t="s">
        <v>319</v>
      </c>
      <c r="G91" s="342">
        <f>SUM(F69:I69)</f>
        <v>0</v>
      </c>
      <c r="I91" s="380"/>
      <c r="J91" s="380" t="str">
        <f>C75</f>
        <v>Monsters (specify)</v>
      </c>
      <c r="K91" s="381">
        <f>SUM(F75:I75)</f>
        <v>0</v>
      </c>
      <c r="M91" s="268"/>
      <c r="N91" s="269"/>
      <c r="O91" s="88"/>
    </row>
    <row r="92" spans="3:15" ht="12.75">
      <c r="C92" s="340" t="s">
        <v>320</v>
      </c>
      <c r="D92" s="342">
        <f>+$I79/6</f>
        <v>3</v>
      </c>
      <c r="F92" s="340" t="s">
        <v>321</v>
      </c>
      <c r="G92" s="342">
        <f>SUM(F70:I70)</f>
        <v>0</v>
      </c>
      <c r="I92" s="380"/>
      <c r="J92" s="380" t="str">
        <f>C76</f>
        <v>Monsters (specify)</v>
      </c>
      <c r="K92" s="381">
        <f>SUM(F76:I76)</f>
        <v>0</v>
      </c>
      <c r="M92" s="268"/>
      <c r="N92" s="269"/>
      <c r="O92" s="88"/>
    </row>
    <row r="93" spans="3:15" ht="12.75">
      <c r="C93" s="340" t="s">
        <v>322</v>
      </c>
      <c r="D93" s="342">
        <f>+$I80/8</f>
        <v>0</v>
      </c>
      <c r="F93" s="340" t="s">
        <v>323</v>
      </c>
      <c r="G93" s="342">
        <f>SUM(F71:I71)/4</f>
        <v>8.5</v>
      </c>
      <c r="I93" s="380"/>
      <c r="J93" s="380" t="str">
        <f>C77</f>
        <v>Monsters (specify)</v>
      </c>
      <c r="K93" s="381">
        <f>SUM(F77:I77)</f>
        <v>0</v>
      </c>
      <c r="M93" s="268"/>
      <c r="N93" s="269"/>
      <c r="O93" s="88"/>
    </row>
    <row r="94" spans="3:15" ht="12.75">
      <c r="C94" s="340" t="s">
        <v>324</v>
      </c>
      <c r="D94" s="342">
        <f>+$I81/12</f>
        <v>0</v>
      </c>
      <c r="M94" s="268"/>
      <c r="N94" s="269"/>
      <c r="O94" s="88"/>
    </row>
    <row r="95" spans="6:15" ht="13.5">
      <c r="F95" s="279" t="s">
        <v>325</v>
      </c>
      <c r="G95" s="427">
        <f>SUM(F72:I72)</f>
        <v>0</v>
      </c>
      <c r="I95" s="380"/>
      <c r="J95" s="422" t="str">
        <f>C82</f>
        <v>War Machine, Mediocre</v>
      </c>
      <c r="K95" s="381">
        <f>SUM(H82:I82)/16</f>
        <v>0</v>
      </c>
      <c r="M95" s="268"/>
      <c r="N95" s="269"/>
      <c r="O95" s="88"/>
    </row>
    <row r="96" spans="3:15" ht="13.5">
      <c r="C96" s="590" t="s">
        <v>326</v>
      </c>
      <c r="D96" s="591"/>
      <c r="F96" s="279" t="s">
        <v>327</v>
      </c>
      <c r="G96" s="427">
        <f>SUM(F73:I73)</f>
        <v>0</v>
      </c>
      <c r="I96" s="380"/>
      <c r="J96" s="422" t="str">
        <f>C83</f>
        <v>War Machine, Fair</v>
      </c>
      <c r="K96" s="381">
        <f>SUM(H83:I83)/32</f>
        <v>0</v>
      </c>
      <c r="M96" s="268"/>
      <c r="N96" s="269"/>
      <c r="O96" s="88"/>
    </row>
    <row r="97" spans="3:15" ht="13.5">
      <c r="C97" s="340" t="s">
        <v>328</v>
      </c>
      <c r="D97" s="342">
        <f>ROUND(($D$89-SUM($F$86:$I$86))/30,0)</f>
        <v>41</v>
      </c>
      <c r="I97" s="380"/>
      <c r="J97" s="422" t="str">
        <f>C84</f>
        <v>War Machine, Good</v>
      </c>
      <c r="K97" s="381">
        <f>SUM(H84:I84)/40</f>
        <v>0</v>
      </c>
      <c r="M97" s="268"/>
      <c r="N97" s="269"/>
      <c r="O97" s="88"/>
    </row>
    <row r="98" spans="3:15" ht="13.5">
      <c r="C98" s="340" t="s">
        <v>329</v>
      </c>
      <c r="D98" s="342">
        <f>D97*3</f>
        <v>123</v>
      </c>
      <c r="I98" s="380"/>
      <c r="J98" s="422" t="str">
        <f>C85</f>
        <v>War Machine, Excellent</v>
      </c>
      <c r="K98" s="381">
        <f>SUM(H85:I85)/65</f>
        <v>0</v>
      </c>
      <c r="M98" s="268"/>
      <c r="N98" s="269"/>
      <c r="O98" s="88"/>
    </row>
    <row r="99" spans="13:15" ht="12.75">
      <c r="M99" s="268"/>
      <c r="N99" s="269"/>
      <c r="O99" s="88"/>
    </row>
    <row r="100" spans="3:15" ht="12.75">
      <c r="C100" s="12"/>
      <c r="M100" s="268"/>
      <c r="N100" s="269"/>
      <c r="O100" s="88"/>
    </row>
    <row r="101" spans="4:15" ht="15">
      <c r="D101" s="281" t="s">
        <v>330</v>
      </c>
      <c r="E101" s="282">
        <f>H22+D89</f>
        <v>2543</v>
      </c>
      <c r="F101" s="267" t="s">
        <v>331</v>
      </c>
      <c r="G101" s="267"/>
      <c r="M101" s="268"/>
      <c r="N101" s="269"/>
      <c r="O101" s="88"/>
    </row>
    <row r="102" spans="3:15" ht="12.75">
      <c r="C102" s="12"/>
      <c r="M102" s="89"/>
      <c r="N102" s="87"/>
      <c r="O102" s="90"/>
    </row>
    <row r="104" ht="12.75">
      <c r="A104" s="12" t="s">
        <v>332</v>
      </c>
    </row>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Y73"/>
  <sheetViews>
    <sheetView zoomScalePageLayoutView="0" workbookViewId="0" topLeftCell="A1">
      <selection activeCell="D6" sqref="D6"/>
    </sheetView>
  </sheetViews>
  <sheetFormatPr defaultColWidth="9.140625" defaultRowHeight="12.75"/>
  <cols>
    <col min="1" max="1" width="9.57421875" style="0" customWidth="1"/>
  </cols>
  <sheetData>
    <row r="1" spans="2:20" ht="23.25">
      <c r="B1" s="8"/>
      <c r="C1" s="8"/>
      <c r="D1" s="624" t="s">
        <v>333</v>
      </c>
      <c r="E1" s="8"/>
      <c r="F1" s="8"/>
      <c r="G1" s="8"/>
      <c r="H1" s="8"/>
      <c r="I1" s="643"/>
      <c r="J1" s="88"/>
      <c r="K1" s="88"/>
      <c r="L1" s="88"/>
      <c r="M1" s="88"/>
      <c r="N1" s="88"/>
      <c r="O1" s="88"/>
      <c r="P1" s="88"/>
      <c r="Q1" s="88"/>
      <c r="R1" s="88"/>
      <c r="S1" s="88"/>
      <c r="T1" s="88"/>
    </row>
    <row r="2" spans="2:20" ht="12.75">
      <c r="B2" s="592"/>
      <c r="C2" s="592"/>
      <c r="D2" s="625"/>
      <c r="E2" s="592"/>
      <c r="F2" s="592"/>
      <c r="G2" s="592"/>
      <c r="H2" s="592"/>
      <c r="I2" s="644"/>
      <c r="J2" s="88"/>
      <c r="K2" s="88"/>
      <c r="L2" s="88"/>
      <c r="M2" s="88"/>
      <c r="N2" s="88"/>
      <c r="O2" s="88"/>
      <c r="P2" s="88"/>
      <c r="Q2" s="88"/>
      <c r="R2" s="88"/>
      <c r="S2" s="88"/>
      <c r="T2" s="88"/>
    </row>
    <row r="3" spans="1:20" ht="16.5">
      <c r="A3" s="683" t="s">
        <v>334</v>
      </c>
      <c r="I3" s="88"/>
      <c r="J3" s="88"/>
      <c r="K3" s="88"/>
      <c r="L3" s="88"/>
      <c r="M3" s="88"/>
      <c r="N3" s="88"/>
      <c r="O3" s="88"/>
      <c r="P3" s="88"/>
      <c r="Q3" s="88"/>
      <c r="R3" s="88"/>
      <c r="S3" s="88"/>
      <c r="T3" s="88"/>
    </row>
    <row r="4" spans="9:20" ht="12.75">
      <c r="I4" s="88"/>
      <c r="J4" s="88"/>
      <c r="K4" s="88"/>
      <c r="L4" s="88"/>
      <c r="M4" s="88"/>
      <c r="N4" s="88"/>
      <c r="O4" s="88"/>
      <c r="P4" s="88"/>
      <c r="Q4" s="88"/>
      <c r="R4" s="88"/>
      <c r="S4" s="88"/>
      <c r="T4" s="88"/>
    </row>
    <row r="5" spans="3:20" ht="12.75">
      <c r="C5" s="552" t="s">
        <v>335</v>
      </c>
      <c r="D5" s="8"/>
      <c r="E5" s="8"/>
      <c r="I5" s="88"/>
      <c r="J5" s="88"/>
      <c r="K5" s="88"/>
      <c r="L5" s="88"/>
      <c r="M5" s="88"/>
      <c r="N5" s="88"/>
      <c r="O5" s="88"/>
      <c r="P5" s="88"/>
      <c r="Q5" s="88"/>
      <c r="R5" s="88"/>
      <c r="S5" s="88"/>
      <c r="T5" s="88"/>
    </row>
    <row r="6" spans="4:20" ht="12.75">
      <c r="D6" s="634">
        <v>100</v>
      </c>
      <c r="I6" s="88"/>
      <c r="J6" s="88"/>
      <c r="K6" s="88"/>
      <c r="L6" s="88"/>
      <c r="M6" s="88"/>
      <c r="N6" s="88"/>
      <c r="O6" s="88"/>
      <c r="P6" s="88"/>
      <c r="Q6" s="88"/>
      <c r="R6" s="88"/>
      <c r="S6" s="88"/>
      <c r="T6" s="88"/>
    </row>
    <row r="7" spans="9:20" ht="12.75">
      <c r="I7" s="88"/>
      <c r="J7" s="88"/>
      <c r="K7" s="88"/>
      <c r="L7" s="88"/>
      <c r="M7" s="88"/>
      <c r="N7" s="88"/>
      <c r="O7" s="88"/>
      <c r="P7" s="88"/>
      <c r="Q7" s="88"/>
      <c r="R7" s="88"/>
      <c r="S7" s="88"/>
      <c r="T7" s="88"/>
    </row>
    <row r="8" spans="2:20" ht="13.5" thickBot="1">
      <c r="B8" s="363"/>
      <c r="C8" s="363"/>
      <c r="D8" s="622" t="s">
        <v>336</v>
      </c>
      <c r="E8" s="363"/>
      <c r="F8" s="363"/>
      <c r="G8" s="8"/>
      <c r="H8" s="8"/>
      <c r="I8" s="88"/>
      <c r="J8" s="88"/>
      <c r="K8" s="88"/>
      <c r="L8" s="88"/>
      <c r="M8" s="88"/>
      <c r="N8" s="88"/>
      <c r="O8" s="88"/>
      <c r="P8" s="88"/>
      <c r="Q8" s="88"/>
      <c r="R8" s="88"/>
      <c r="S8" s="88"/>
      <c r="T8" s="88"/>
    </row>
    <row r="9" spans="1:20" ht="13.5" thickTop="1">
      <c r="A9" s="605" t="s">
        <v>337</v>
      </c>
      <c r="B9" s="606"/>
      <c r="C9" s="607"/>
      <c r="E9" s="610" t="s">
        <v>338</v>
      </c>
      <c r="F9" s="611"/>
      <c r="G9" s="612"/>
      <c r="I9" s="88"/>
      <c r="J9" s="88"/>
      <c r="K9" s="88"/>
      <c r="L9" s="88"/>
      <c r="M9" s="88"/>
      <c r="N9" s="88"/>
      <c r="O9" s="88"/>
      <c r="P9" s="88"/>
      <c r="Q9" s="88"/>
      <c r="R9" s="88"/>
      <c r="S9" s="88"/>
      <c r="T9" s="88"/>
    </row>
    <row r="10" spans="1:20" ht="12.75">
      <c r="A10" s="602"/>
      <c r="B10" s="170" t="s">
        <v>146</v>
      </c>
      <c r="C10" s="635"/>
      <c r="E10" s="608"/>
      <c r="F10" s="170" t="s">
        <v>339</v>
      </c>
      <c r="G10" s="641"/>
      <c r="I10" s="88"/>
      <c r="J10" s="88"/>
      <c r="K10" s="88">
        <f>IF(C10="x",15,0)</f>
        <v>0</v>
      </c>
      <c r="L10" s="88">
        <f>IF(G10="x",40,0)</f>
        <v>0</v>
      </c>
      <c r="M10" s="88"/>
      <c r="N10" s="88"/>
      <c r="O10" s="88"/>
      <c r="P10" s="88"/>
      <c r="Q10" s="88"/>
      <c r="R10" s="88"/>
      <c r="S10" s="88"/>
      <c r="T10" s="88"/>
    </row>
    <row r="11" spans="1:20" ht="12.75">
      <c r="A11" s="602"/>
      <c r="B11" s="170" t="s">
        <v>73</v>
      </c>
      <c r="C11" s="635" t="s">
        <v>340</v>
      </c>
      <c r="E11" s="608"/>
      <c r="F11" s="170" t="s">
        <v>341</v>
      </c>
      <c r="G11" s="641"/>
      <c r="I11" s="88"/>
      <c r="J11" s="88"/>
      <c r="K11" s="88">
        <v>0</v>
      </c>
      <c r="L11" s="88">
        <f>IF(G11="x",40,0)</f>
        <v>0</v>
      </c>
      <c r="M11" s="88"/>
      <c r="N11" s="88"/>
      <c r="O11" s="88"/>
      <c r="P11" s="88"/>
      <c r="Q11" s="88"/>
      <c r="R11" s="88"/>
      <c r="S11" s="88"/>
      <c r="T11" s="88"/>
    </row>
    <row r="12" spans="1:20" ht="12.75">
      <c r="A12" s="602"/>
      <c r="B12" s="170" t="s">
        <v>147</v>
      </c>
      <c r="C12" s="635"/>
      <c r="E12" s="608"/>
      <c r="F12" s="170" t="s">
        <v>342</v>
      </c>
      <c r="G12" s="641"/>
      <c r="I12" s="88"/>
      <c r="J12" s="88"/>
      <c r="K12" s="88">
        <f>IF(C12="x",-10,0)</f>
        <v>0</v>
      </c>
      <c r="L12" s="88">
        <f>IF(G12="x",40,0)</f>
        <v>0</v>
      </c>
      <c r="M12" s="88"/>
      <c r="N12" s="88"/>
      <c r="O12" s="88"/>
      <c r="P12" s="88"/>
      <c r="Q12" s="88"/>
      <c r="R12" s="88"/>
      <c r="S12" s="88"/>
      <c r="T12" s="88"/>
    </row>
    <row r="13" spans="1:20" ht="13.5" thickBot="1">
      <c r="A13" s="603"/>
      <c r="B13" s="604" t="s">
        <v>343</v>
      </c>
      <c r="C13" s="636"/>
      <c r="E13" s="194"/>
      <c r="F13" s="609" t="s">
        <v>344</v>
      </c>
      <c r="G13" s="642" t="s">
        <v>340</v>
      </c>
      <c r="I13" s="88"/>
      <c r="J13" s="88"/>
      <c r="K13" s="88">
        <f>IF(C13="x",-20,0)</f>
        <v>0</v>
      </c>
      <c r="L13" s="88">
        <f>IF(G13="x",40,0)</f>
        <v>40</v>
      </c>
      <c r="M13" s="88"/>
      <c r="N13" s="88"/>
      <c r="O13" s="88"/>
      <c r="P13" s="88"/>
      <c r="Q13" s="88"/>
      <c r="R13" s="88"/>
      <c r="S13" s="88"/>
      <c r="T13" s="88"/>
    </row>
    <row r="14" spans="3:20" ht="14.25" thickBot="1" thickTop="1">
      <c r="C14" s="647"/>
      <c r="G14" s="647"/>
      <c r="I14" s="88"/>
      <c r="J14" s="88"/>
      <c r="K14" s="88"/>
      <c r="L14" s="88"/>
      <c r="M14" s="88"/>
      <c r="N14" s="88"/>
      <c r="O14" s="88"/>
      <c r="P14" s="88"/>
      <c r="Q14" s="88"/>
      <c r="R14" s="88"/>
      <c r="S14" s="88"/>
      <c r="T14" s="88"/>
    </row>
    <row r="15" spans="1:20" ht="13.5" thickTop="1">
      <c r="A15" s="615" t="s">
        <v>345</v>
      </c>
      <c r="B15" s="616"/>
      <c r="C15" s="648"/>
      <c r="D15" s="601"/>
      <c r="E15" s="615" t="s">
        <v>346</v>
      </c>
      <c r="F15" s="616"/>
      <c r="G15" s="648"/>
      <c r="I15" s="88"/>
      <c r="J15" s="88"/>
      <c r="K15" s="88"/>
      <c r="L15" s="88"/>
      <c r="M15" s="88"/>
      <c r="N15" s="88"/>
      <c r="O15" s="88"/>
      <c r="P15" s="88"/>
      <c r="Q15" s="88"/>
      <c r="R15" s="88"/>
      <c r="S15" s="88"/>
      <c r="T15" s="88"/>
    </row>
    <row r="16" spans="1:20" ht="12.75">
      <c r="A16" s="613"/>
      <c r="B16" s="170" t="s">
        <v>146</v>
      </c>
      <c r="C16" s="637"/>
      <c r="E16" s="613"/>
      <c r="F16" s="170" t="s">
        <v>347</v>
      </c>
      <c r="G16" s="637"/>
      <c r="I16" s="88"/>
      <c r="J16" s="88"/>
      <c r="K16" s="88">
        <f>IF(C16="x",25,0)</f>
        <v>0</v>
      </c>
      <c r="L16" s="88">
        <f>IF(G16="x",40,0)</f>
        <v>0</v>
      </c>
      <c r="M16" s="88"/>
      <c r="N16" s="88"/>
      <c r="O16" s="88"/>
      <c r="P16" s="88"/>
      <c r="Q16" s="88"/>
      <c r="R16" s="88"/>
      <c r="S16" s="88"/>
      <c r="T16" s="88"/>
    </row>
    <row r="17" spans="1:20" ht="12.75">
      <c r="A17" s="613"/>
      <c r="B17" s="170" t="s">
        <v>73</v>
      </c>
      <c r="C17" s="637" t="s">
        <v>340</v>
      </c>
      <c r="E17" s="613"/>
      <c r="F17" s="170" t="s">
        <v>348</v>
      </c>
      <c r="G17" s="637" t="s">
        <v>340</v>
      </c>
      <c r="I17" s="88"/>
      <c r="J17" s="88"/>
      <c r="K17" s="88">
        <v>0</v>
      </c>
      <c r="L17" s="88">
        <v>0</v>
      </c>
      <c r="M17" s="88"/>
      <c r="N17" s="88"/>
      <c r="O17" s="88"/>
      <c r="P17" s="88"/>
      <c r="Q17" s="88"/>
      <c r="R17" s="88"/>
      <c r="S17" s="88"/>
      <c r="T17" s="88"/>
    </row>
    <row r="18" spans="1:20" ht="12.75">
      <c r="A18" s="613"/>
      <c r="B18" s="170" t="s">
        <v>147</v>
      </c>
      <c r="C18" s="637"/>
      <c r="E18" s="613"/>
      <c r="F18" s="170" t="s">
        <v>349</v>
      </c>
      <c r="G18" s="637"/>
      <c r="I18" s="88"/>
      <c r="J18" s="88"/>
      <c r="K18" s="88">
        <f>IF(C18="x",-15,0)</f>
        <v>0</v>
      </c>
      <c r="L18" s="88">
        <f>IF(G18="x",-15,0)</f>
        <v>0</v>
      </c>
      <c r="M18" s="88"/>
      <c r="N18" s="88"/>
      <c r="O18" s="88"/>
      <c r="P18" s="88"/>
      <c r="Q18" s="88"/>
      <c r="R18" s="88"/>
      <c r="S18" s="88"/>
      <c r="T18" s="88"/>
    </row>
    <row r="19" spans="1:20" ht="13.5" thickBot="1">
      <c r="A19" s="614"/>
      <c r="B19" s="182" t="s">
        <v>343</v>
      </c>
      <c r="C19" s="638"/>
      <c r="E19" s="614"/>
      <c r="F19" s="182" t="s">
        <v>350</v>
      </c>
      <c r="G19" s="638"/>
      <c r="I19" s="88"/>
      <c r="J19" s="88"/>
      <c r="K19" s="88">
        <f>IF(C19="x",-20,0)</f>
        <v>0</v>
      </c>
      <c r="L19" s="88">
        <f>IF(G19="x",-20,0)</f>
        <v>0</v>
      </c>
      <c r="M19" s="90">
        <f>SUM(K10:K19,L10:L19)</f>
        <v>40</v>
      </c>
      <c r="N19" s="88"/>
      <c r="O19" s="88"/>
      <c r="P19" s="88"/>
      <c r="Q19" s="88"/>
      <c r="R19" s="88"/>
      <c r="S19" s="88"/>
      <c r="T19" s="88"/>
    </row>
    <row r="20" spans="3:20" ht="14.25" thickBot="1" thickTop="1">
      <c r="C20" s="647"/>
      <c r="G20" s="647"/>
      <c r="I20" s="88"/>
      <c r="J20" s="88"/>
      <c r="K20" s="88"/>
      <c r="L20" s="88"/>
      <c r="M20" s="88"/>
      <c r="N20" s="88"/>
      <c r="O20" s="88"/>
      <c r="P20" s="88"/>
      <c r="Q20" s="88"/>
      <c r="R20" s="88"/>
      <c r="S20" s="88"/>
      <c r="T20" s="88"/>
    </row>
    <row r="21" spans="1:20" ht="13.5" thickTop="1">
      <c r="A21" s="620" t="s">
        <v>351</v>
      </c>
      <c r="B21" s="621"/>
      <c r="C21" s="649"/>
      <c r="E21" s="620" t="s">
        <v>352</v>
      </c>
      <c r="F21" s="621"/>
      <c r="G21" s="649"/>
      <c r="I21" s="268"/>
      <c r="J21" s="90"/>
      <c r="K21" s="88">
        <f>IF(G22="x",8,0)</f>
        <v>8</v>
      </c>
      <c r="L21" s="88"/>
      <c r="M21" s="90"/>
      <c r="N21" s="88"/>
      <c r="O21" s="88"/>
      <c r="P21" s="88"/>
      <c r="Q21" s="88"/>
      <c r="R21" s="88"/>
      <c r="S21" s="88"/>
      <c r="T21" s="88"/>
    </row>
    <row r="22" spans="1:20" ht="12.75">
      <c r="A22" s="617"/>
      <c r="B22" s="170" t="s">
        <v>353</v>
      </c>
      <c r="C22" s="639" t="s">
        <v>340</v>
      </c>
      <c r="E22" s="617"/>
      <c r="F22" s="170" t="s">
        <v>354</v>
      </c>
      <c r="G22" s="639" t="s">
        <v>340</v>
      </c>
      <c r="I22" s="88"/>
      <c r="J22" s="88"/>
      <c r="K22" s="88">
        <f>IF(G23="x",24,0)</f>
        <v>0</v>
      </c>
      <c r="L22" s="88"/>
      <c r="M22" s="88"/>
      <c r="N22" s="88"/>
      <c r="O22" s="88"/>
      <c r="P22" s="88"/>
      <c r="Q22" s="88"/>
      <c r="R22" s="88"/>
      <c r="S22" s="88"/>
      <c r="T22" s="88"/>
    </row>
    <row r="23" spans="1:20" ht="12.75">
      <c r="A23" s="617"/>
      <c r="B23" s="170" t="s">
        <v>355</v>
      </c>
      <c r="C23" s="639"/>
      <c r="E23" s="617"/>
      <c r="F23" s="170" t="s">
        <v>356</v>
      </c>
      <c r="G23" s="639"/>
      <c r="I23" s="88"/>
      <c r="J23" s="90"/>
      <c r="K23" s="88">
        <f>IF(G24="x",72,0)</f>
        <v>0</v>
      </c>
      <c r="L23" s="88">
        <f>IF(C24="x",1,0)</f>
        <v>1</v>
      </c>
      <c r="M23" s="88"/>
      <c r="N23" s="88"/>
      <c r="O23" s="88"/>
      <c r="P23" s="88"/>
      <c r="Q23" s="88"/>
      <c r="R23" s="88"/>
      <c r="S23" s="88"/>
      <c r="T23" s="88"/>
    </row>
    <row r="24" spans="1:20" ht="12.75">
      <c r="A24" s="617"/>
      <c r="B24" s="170" t="s">
        <v>357</v>
      </c>
      <c r="C24" s="639" t="s">
        <v>340</v>
      </c>
      <c r="E24" s="617"/>
      <c r="F24" s="170" t="s">
        <v>358</v>
      </c>
      <c r="G24" s="639"/>
      <c r="I24" s="88"/>
      <c r="J24" s="90"/>
      <c r="K24" s="88">
        <f>IF(G25&gt;0.1,G25,0)</f>
        <v>0</v>
      </c>
      <c r="L24" s="88">
        <f>IF(C25="x",2,0)</f>
        <v>0</v>
      </c>
      <c r="M24" s="88"/>
      <c r="N24" s="88"/>
      <c r="O24" s="88"/>
      <c r="P24" s="88"/>
      <c r="Q24" s="88"/>
      <c r="R24" s="88"/>
      <c r="S24" s="88"/>
      <c r="T24" s="88"/>
    </row>
    <row r="25" spans="1:20" ht="13.5" thickBot="1">
      <c r="A25" s="617"/>
      <c r="B25" s="170" t="s">
        <v>359</v>
      </c>
      <c r="C25" s="639"/>
      <c r="E25" s="618"/>
      <c r="F25" s="619" t="s">
        <v>360</v>
      </c>
      <c r="G25" s="640"/>
      <c r="I25" s="89"/>
      <c r="J25" s="90"/>
      <c r="K25" s="88">
        <f>SUM(K21:K24)</f>
        <v>8</v>
      </c>
      <c r="L25" s="88">
        <f>IF(C26="x",3,0)</f>
        <v>0</v>
      </c>
      <c r="M25" s="88"/>
      <c r="N25" s="88"/>
      <c r="O25" s="88"/>
      <c r="P25" s="88"/>
      <c r="Q25" s="88"/>
      <c r="R25" s="88"/>
      <c r="S25" s="88"/>
      <c r="T25" s="88"/>
    </row>
    <row r="26" spans="1:20" ht="14.25" thickBot="1" thickTop="1">
      <c r="A26" s="618"/>
      <c r="B26" s="619" t="s">
        <v>361</v>
      </c>
      <c r="C26" s="640"/>
      <c r="F26" s="623" t="s">
        <v>362</v>
      </c>
      <c r="I26" s="89"/>
      <c r="J26" s="90"/>
      <c r="K26" s="90">
        <f>IF(K25&gt;0.1,K25,8)</f>
        <v>8</v>
      </c>
      <c r="L26" s="88">
        <f>SUM(L23:L25)</f>
        <v>1</v>
      </c>
      <c r="M26" s="90">
        <f>IF(L26=0,1,L26)</f>
        <v>1</v>
      </c>
      <c r="N26" s="88"/>
      <c r="O26" s="88"/>
      <c r="P26" s="88"/>
      <c r="Q26" s="88"/>
      <c r="R26" s="88"/>
      <c r="S26" s="88"/>
      <c r="T26" s="88"/>
    </row>
    <row r="27" spans="9:20" ht="13.5" thickTop="1">
      <c r="I27" s="89"/>
      <c r="J27" s="90"/>
      <c r="K27" s="88"/>
      <c r="L27" s="88"/>
      <c r="M27" s="88"/>
      <c r="N27" s="88"/>
      <c r="O27" s="88"/>
      <c r="P27" s="88"/>
      <c r="Q27" s="88"/>
      <c r="R27" s="88"/>
      <c r="S27" s="88"/>
      <c r="T27" s="88"/>
    </row>
    <row r="29" spans="1:11" ht="18.75" thickBot="1">
      <c r="A29" s="650" t="s">
        <v>363</v>
      </c>
      <c r="B29" s="651">
        <f>(SUM($C$31:$K$31))*$K$26</f>
        <v>112</v>
      </c>
      <c r="C29" s="20" t="s">
        <v>364</v>
      </c>
      <c r="D29" s="21"/>
      <c r="E29" s="21"/>
      <c r="F29" s="21"/>
      <c r="G29" s="21"/>
      <c r="H29" s="22"/>
      <c r="I29" s="22"/>
      <c r="J29" s="22"/>
      <c r="K29" s="22"/>
    </row>
    <row r="30" spans="1:11" ht="13.5" thickTop="1">
      <c r="A30" s="652"/>
      <c r="B30" s="653"/>
      <c r="C30" s="17" t="s">
        <v>21</v>
      </c>
      <c r="D30" s="17" t="s">
        <v>22</v>
      </c>
      <c r="E30" s="17" t="s">
        <v>23</v>
      </c>
      <c r="F30" s="17" t="s">
        <v>24</v>
      </c>
      <c r="G30" s="17" t="s">
        <v>25</v>
      </c>
      <c r="H30" s="17" t="s">
        <v>26</v>
      </c>
      <c r="I30" s="17" t="s">
        <v>27</v>
      </c>
      <c r="J30" s="17" t="s">
        <v>28</v>
      </c>
      <c r="K30" s="18" t="s">
        <v>29</v>
      </c>
    </row>
    <row r="31" spans="1:11" ht="13.5" thickBot="1">
      <c r="A31" s="654" t="s">
        <v>31</v>
      </c>
      <c r="B31" s="655"/>
      <c r="C31" s="428">
        <v>7</v>
      </c>
      <c r="D31" s="428">
        <v>4</v>
      </c>
      <c r="E31" s="428">
        <v>3</v>
      </c>
      <c r="F31" s="428"/>
      <c r="G31" s="428"/>
      <c r="H31" s="428"/>
      <c r="I31" s="428"/>
      <c r="J31" s="428"/>
      <c r="K31" s="429"/>
    </row>
    <row r="32" spans="1:11" ht="14.25" thickBot="1" thickTop="1">
      <c r="A32" s="647"/>
      <c r="B32" s="647"/>
      <c r="C32" s="430"/>
      <c r="D32" s="430"/>
      <c r="E32" s="430"/>
      <c r="F32" s="430"/>
      <c r="G32" s="430"/>
      <c r="H32" s="430"/>
      <c r="I32" s="430"/>
      <c r="J32" s="430"/>
      <c r="K32" s="430"/>
    </row>
    <row r="33" spans="1:24" ht="13.5" thickTop="1">
      <c r="A33" s="656"/>
      <c r="B33" s="657" t="s">
        <v>365</v>
      </c>
      <c r="C33" s="598" t="s">
        <v>340</v>
      </c>
      <c r="D33" s="598"/>
      <c r="E33" s="598"/>
      <c r="F33" s="598"/>
      <c r="G33" s="598"/>
      <c r="H33" s="598"/>
      <c r="I33" s="598"/>
      <c r="J33" s="598"/>
      <c r="K33" s="599"/>
      <c r="N33" s="88"/>
      <c r="O33" s="88">
        <f>IF(C33="x",IF($C$23="x",72,0),0)</f>
        <v>0</v>
      </c>
      <c r="P33" s="88">
        <f aca="true" t="shared" si="0" ref="P33:X33">IF(D33="x",IF($C$23="x",72,0),0)</f>
        <v>0</v>
      </c>
      <c r="Q33" s="88">
        <f t="shared" si="0"/>
        <v>0</v>
      </c>
      <c r="R33" s="88">
        <f t="shared" si="0"/>
        <v>0</v>
      </c>
      <c r="S33" s="88">
        <f t="shared" si="0"/>
        <v>0</v>
      </c>
      <c r="T33" s="88">
        <f t="shared" si="0"/>
        <v>0</v>
      </c>
      <c r="U33" s="88">
        <f t="shared" si="0"/>
        <v>0</v>
      </c>
      <c r="V33" s="88">
        <f t="shared" si="0"/>
        <v>0</v>
      </c>
      <c r="W33" s="88">
        <f t="shared" si="0"/>
        <v>0</v>
      </c>
      <c r="X33" s="88">
        <f t="shared" si="0"/>
        <v>0</v>
      </c>
    </row>
    <row r="34" spans="1:24" ht="12.75">
      <c r="A34" s="658"/>
      <c r="B34" s="659" t="s">
        <v>37</v>
      </c>
      <c r="C34" s="441"/>
      <c r="D34" s="441" t="s">
        <v>340</v>
      </c>
      <c r="E34" s="441"/>
      <c r="F34" s="441"/>
      <c r="G34" s="441"/>
      <c r="H34" s="441"/>
      <c r="I34" s="441"/>
      <c r="J34" s="441"/>
      <c r="K34" s="442"/>
      <c r="N34" s="88"/>
      <c r="O34" s="88">
        <f>IF(C34="x",IF($C$23="x",76,2),0)</f>
        <v>0</v>
      </c>
      <c r="P34" s="88">
        <f aca="true" t="shared" si="1" ref="P34:X34">IF(D34="x",IF($C$23="x",76,2),0)</f>
        <v>2</v>
      </c>
      <c r="Q34" s="88">
        <f t="shared" si="1"/>
        <v>0</v>
      </c>
      <c r="R34" s="88">
        <f t="shared" si="1"/>
        <v>0</v>
      </c>
      <c r="S34" s="88">
        <f t="shared" si="1"/>
        <v>0</v>
      </c>
      <c r="T34" s="88">
        <f t="shared" si="1"/>
        <v>0</v>
      </c>
      <c r="U34" s="88">
        <f t="shared" si="1"/>
        <v>0</v>
      </c>
      <c r="V34" s="88">
        <f t="shared" si="1"/>
        <v>0</v>
      </c>
      <c r="W34" s="88">
        <f t="shared" si="1"/>
        <v>0</v>
      </c>
      <c r="X34" s="88">
        <f t="shared" si="1"/>
        <v>0</v>
      </c>
    </row>
    <row r="35" spans="1:24" ht="12.75">
      <c r="A35" s="660"/>
      <c r="B35" s="661" t="s">
        <v>38</v>
      </c>
      <c r="C35" s="443"/>
      <c r="D35" s="443"/>
      <c r="E35" s="443" t="s">
        <v>340</v>
      </c>
      <c r="F35" s="443"/>
      <c r="G35" s="443"/>
      <c r="H35" s="443"/>
      <c r="I35" s="443"/>
      <c r="J35" s="443"/>
      <c r="K35" s="444"/>
      <c r="N35" s="88"/>
      <c r="O35" s="88">
        <f>IF(C35="x",IF($C$23="x",80,4),0)</f>
        <v>0</v>
      </c>
      <c r="P35" s="88">
        <f aca="true" t="shared" si="2" ref="P35:X36">IF(D35="x",IF($C$23="x",80,4),0)</f>
        <v>0</v>
      </c>
      <c r="Q35" s="88">
        <f t="shared" si="2"/>
        <v>4</v>
      </c>
      <c r="R35" s="88">
        <f t="shared" si="2"/>
        <v>0</v>
      </c>
      <c r="S35" s="88">
        <f t="shared" si="2"/>
        <v>0</v>
      </c>
      <c r="T35" s="88">
        <f t="shared" si="2"/>
        <v>0</v>
      </c>
      <c r="U35" s="88">
        <f t="shared" si="2"/>
        <v>0</v>
      </c>
      <c r="V35" s="88">
        <f t="shared" si="2"/>
        <v>0</v>
      </c>
      <c r="W35" s="88">
        <f t="shared" si="2"/>
        <v>0</v>
      </c>
      <c r="X35" s="88">
        <f t="shared" si="2"/>
        <v>0</v>
      </c>
    </row>
    <row r="36" spans="1:24" ht="12.75">
      <c r="A36" s="662"/>
      <c r="B36" s="663" t="s">
        <v>48</v>
      </c>
      <c r="C36" s="450"/>
      <c r="D36" s="450"/>
      <c r="E36" s="450" t="s">
        <v>340</v>
      </c>
      <c r="F36" s="450"/>
      <c r="G36" s="450"/>
      <c r="H36" s="450"/>
      <c r="I36" s="450"/>
      <c r="J36" s="450"/>
      <c r="K36" s="593"/>
      <c r="N36" s="88"/>
      <c r="O36" s="88">
        <f>IF(C36="x",IF($C$23="x",80,4),0)</f>
        <v>0</v>
      </c>
      <c r="P36" s="88">
        <f t="shared" si="2"/>
        <v>0</v>
      </c>
      <c r="Q36" s="88">
        <f t="shared" si="2"/>
        <v>4</v>
      </c>
      <c r="R36" s="88">
        <f t="shared" si="2"/>
        <v>0</v>
      </c>
      <c r="S36" s="88">
        <f t="shared" si="2"/>
        <v>0</v>
      </c>
      <c r="T36" s="88">
        <f t="shared" si="2"/>
        <v>0</v>
      </c>
      <c r="U36" s="88">
        <f t="shared" si="2"/>
        <v>0</v>
      </c>
      <c r="V36" s="88">
        <f t="shared" si="2"/>
        <v>0</v>
      </c>
      <c r="W36" s="88">
        <f t="shared" si="2"/>
        <v>0</v>
      </c>
      <c r="X36" s="88">
        <f t="shared" si="2"/>
        <v>0</v>
      </c>
    </row>
    <row r="37" spans="1:24" ht="12.75">
      <c r="A37" s="664"/>
      <c r="B37" s="665" t="s">
        <v>366</v>
      </c>
      <c r="C37" s="437"/>
      <c r="D37" s="437"/>
      <c r="E37" s="437"/>
      <c r="F37" s="437"/>
      <c r="G37" s="437"/>
      <c r="H37" s="437"/>
      <c r="I37" s="437"/>
      <c r="J37" s="437"/>
      <c r="K37" s="438"/>
      <c r="N37" s="88"/>
      <c r="O37" s="88">
        <f>IF(C37="x",IF($C$23="x",84,6),0)</f>
        <v>0</v>
      </c>
      <c r="P37" s="88">
        <f aca="true" t="shared" si="3" ref="P37:X37">IF(D37="x",IF($C$23="x",84,6),0)</f>
        <v>0</v>
      </c>
      <c r="Q37" s="88">
        <f t="shared" si="3"/>
        <v>0</v>
      </c>
      <c r="R37" s="88">
        <f t="shared" si="3"/>
        <v>0</v>
      </c>
      <c r="S37" s="88">
        <f t="shared" si="3"/>
        <v>0</v>
      </c>
      <c r="T37" s="88">
        <f t="shared" si="3"/>
        <v>0</v>
      </c>
      <c r="U37" s="88">
        <f t="shared" si="3"/>
        <v>0</v>
      </c>
      <c r="V37" s="88">
        <f t="shared" si="3"/>
        <v>0</v>
      </c>
      <c r="W37" s="88">
        <f t="shared" si="3"/>
        <v>0</v>
      </c>
      <c r="X37" s="88">
        <f t="shared" si="3"/>
        <v>0</v>
      </c>
    </row>
    <row r="38" spans="1:24" ht="12.75">
      <c r="A38" s="666"/>
      <c r="B38" s="667" t="s">
        <v>367</v>
      </c>
      <c r="C38" s="594"/>
      <c r="D38" s="594"/>
      <c r="E38" s="594"/>
      <c r="F38" s="594"/>
      <c r="G38" s="594"/>
      <c r="H38" s="594"/>
      <c r="I38" s="594"/>
      <c r="J38" s="594"/>
      <c r="K38" s="595"/>
      <c r="N38" s="88"/>
      <c r="O38" s="88">
        <f>IF(C38="x",IF($C$23="x",92,10),0)</f>
        <v>0</v>
      </c>
      <c r="P38" s="88">
        <f aca="true" t="shared" si="4" ref="P38:X38">IF(D38="x",IF($C$23="x",92,10),0)</f>
        <v>0</v>
      </c>
      <c r="Q38" s="88">
        <f t="shared" si="4"/>
        <v>0</v>
      </c>
      <c r="R38" s="88">
        <f t="shared" si="4"/>
        <v>0</v>
      </c>
      <c r="S38" s="88">
        <f t="shared" si="4"/>
        <v>0</v>
      </c>
      <c r="T38" s="88">
        <f t="shared" si="4"/>
        <v>0</v>
      </c>
      <c r="U38" s="88">
        <f t="shared" si="4"/>
        <v>0</v>
      </c>
      <c r="V38" s="88">
        <f t="shared" si="4"/>
        <v>0</v>
      </c>
      <c r="W38" s="88">
        <f t="shared" si="4"/>
        <v>0</v>
      </c>
      <c r="X38" s="88">
        <f t="shared" si="4"/>
        <v>0</v>
      </c>
    </row>
    <row r="39" spans="1:24" ht="13.5" thickBot="1">
      <c r="A39" s="668"/>
      <c r="B39" s="669" t="s">
        <v>368</v>
      </c>
      <c r="C39" s="596"/>
      <c r="D39" s="596"/>
      <c r="E39" s="596"/>
      <c r="F39" s="596"/>
      <c r="G39" s="596"/>
      <c r="H39" s="596"/>
      <c r="I39" s="596"/>
      <c r="J39" s="596"/>
      <c r="K39" s="597"/>
      <c r="N39" s="88"/>
      <c r="O39" s="88">
        <f>IF(C39="x",IF($C$23="x",84,1),0)</f>
        <v>0</v>
      </c>
      <c r="P39" s="88">
        <f aca="true" t="shared" si="5" ref="P39:X39">IF(D39="x",IF($C$23="x",84,1),0)</f>
        <v>0</v>
      </c>
      <c r="Q39" s="88">
        <f t="shared" si="5"/>
        <v>0</v>
      </c>
      <c r="R39" s="88">
        <f t="shared" si="5"/>
        <v>0</v>
      </c>
      <c r="S39" s="88">
        <f t="shared" si="5"/>
        <v>0</v>
      </c>
      <c r="T39" s="88">
        <f t="shared" si="5"/>
        <v>0</v>
      </c>
      <c r="U39" s="88">
        <f t="shared" si="5"/>
        <v>0</v>
      </c>
      <c r="V39" s="88">
        <f t="shared" si="5"/>
        <v>0</v>
      </c>
      <c r="W39" s="88">
        <f t="shared" si="5"/>
        <v>0</v>
      </c>
      <c r="X39" s="88">
        <f t="shared" si="5"/>
        <v>0</v>
      </c>
    </row>
    <row r="40" spans="1:24" ht="14.25" thickBot="1" thickTop="1">
      <c r="A40" s="670"/>
      <c r="B40" s="671"/>
      <c r="C40" s="447"/>
      <c r="D40" s="447"/>
      <c r="E40" s="447"/>
      <c r="F40" s="447"/>
      <c r="G40" s="447"/>
      <c r="H40" s="447"/>
      <c r="I40" s="447"/>
      <c r="J40" s="447"/>
      <c r="K40" s="447"/>
      <c r="N40" s="89" t="s">
        <v>369</v>
      </c>
      <c r="O40" s="90">
        <f aca="true" t="shared" si="6" ref="O40:X40">SUM(O33:O39)</f>
        <v>0</v>
      </c>
      <c r="P40" s="90">
        <f t="shared" si="6"/>
        <v>2</v>
      </c>
      <c r="Q40" s="90">
        <f t="shared" si="6"/>
        <v>8</v>
      </c>
      <c r="R40" s="90">
        <f t="shared" si="6"/>
        <v>0</v>
      </c>
      <c r="S40" s="90">
        <f t="shared" si="6"/>
        <v>0</v>
      </c>
      <c r="T40" s="90">
        <f t="shared" si="6"/>
        <v>0</v>
      </c>
      <c r="U40" s="90">
        <f t="shared" si="6"/>
        <v>0</v>
      </c>
      <c r="V40" s="90">
        <f t="shared" si="6"/>
        <v>0</v>
      </c>
      <c r="W40" s="90">
        <f t="shared" si="6"/>
        <v>0</v>
      </c>
      <c r="X40" s="90">
        <f t="shared" si="6"/>
        <v>0</v>
      </c>
    </row>
    <row r="41" spans="1:25" ht="13.5" thickTop="1">
      <c r="A41" s="672"/>
      <c r="B41" s="673" t="s">
        <v>42</v>
      </c>
      <c r="C41" s="448"/>
      <c r="D41" s="448"/>
      <c r="E41" s="448" t="s">
        <v>340</v>
      </c>
      <c r="F41" s="448"/>
      <c r="G41" s="448"/>
      <c r="H41" s="448"/>
      <c r="I41" s="448"/>
      <c r="J41" s="448"/>
      <c r="K41" s="449"/>
      <c r="O41" s="88">
        <f aca="true" t="shared" si="7" ref="O41:X41">IF(C41="x",IF($D$6=0,0,IF($D$6&lt;11,100,IF($D$6&lt;21,120,IF($D$6&lt;51,140,IF($D$6&lt;101,160,IF($D$6&lt;501,180,IF($D$6&lt;1001,200,250))))))),0)</f>
        <v>0</v>
      </c>
      <c r="P41" s="88">
        <f t="shared" si="7"/>
        <v>0</v>
      </c>
      <c r="Q41" s="88">
        <f t="shared" si="7"/>
        <v>160</v>
      </c>
      <c r="R41" s="88">
        <f t="shared" si="7"/>
        <v>0</v>
      </c>
      <c r="S41" s="88">
        <f t="shared" si="7"/>
        <v>0</v>
      </c>
      <c r="T41" s="88">
        <f t="shared" si="7"/>
        <v>0</v>
      </c>
      <c r="U41" s="88">
        <f t="shared" si="7"/>
        <v>0</v>
      </c>
      <c r="V41" s="88">
        <f t="shared" si="7"/>
        <v>0</v>
      </c>
      <c r="W41" s="88">
        <f t="shared" si="7"/>
        <v>0</v>
      </c>
      <c r="X41" s="88">
        <f t="shared" si="7"/>
        <v>0</v>
      </c>
      <c r="Y41" s="88"/>
    </row>
    <row r="42" spans="1:25" ht="12.75">
      <c r="A42" s="674"/>
      <c r="B42" s="663" t="s">
        <v>3</v>
      </c>
      <c r="C42" s="450"/>
      <c r="D42" s="450" t="s">
        <v>340</v>
      </c>
      <c r="E42" s="450"/>
      <c r="F42" s="450"/>
      <c r="G42" s="450"/>
      <c r="H42" s="450"/>
      <c r="I42" s="450"/>
      <c r="J42" s="450"/>
      <c r="K42" s="451"/>
      <c r="O42" s="88">
        <f aca="true" t="shared" si="8" ref="O42:X42">IF(C42="x",IF($D$6=0,0,IF($D$6&lt;11,50,IF($D$6&lt;21,60,IF($D$6&lt;51,70,IF($D$6&lt;101,80,IF($D$6&lt;501,90,IF($D$6&lt;1001,100,120))))))),0)</f>
        <v>0</v>
      </c>
      <c r="P42" s="88">
        <f t="shared" si="8"/>
        <v>80</v>
      </c>
      <c r="Q42" s="88">
        <f t="shared" si="8"/>
        <v>0</v>
      </c>
      <c r="R42" s="88">
        <f t="shared" si="8"/>
        <v>0</v>
      </c>
      <c r="S42" s="88">
        <f t="shared" si="8"/>
        <v>0</v>
      </c>
      <c r="T42" s="88">
        <f t="shared" si="8"/>
        <v>0</v>
      </c>
      <c r="U42" s="88">
        <f t="shared" si="8"/>
        <v>0</v>
      </c>
      <c r="V42" s="88">
        <f t="shared" si="8"/>
        <v>0</v>
      </c>
      <c r="W42" s="88">
        <f t="shared" si="8"/>
        <v>0</v>
      </c>
      <c r="X42" s="88">
        <f t="shared" si="8"/>
        <v>0</v>
      </c>
      <c r="Y42" s="88"/>
    </row>
    <row r="43" spans="1:25" ht="12.75">
      <c r="A43" s="675"/>
      <c r="B43" s="676" t="s">
        <v>4</v>
      </c>
      <c r="C43" s="452" t="s">
        <v>340</v>
      </c>
      <c r="D43" s="452"/>
      <c r="E43" s="452"/>
      <c r="F43" s="452"/>
      <c r="G43" s="452"/>
      <c r="H43" s="452"/>
      <c r="I43" s="452"/>
      <c r="J43" s="452"/>
      <c r="K43" s="453"/>
      <c r="O43" s="88">
        <f aca="true" t="shared" si="9" ref="O43:X43">IF(C43="x",IF($D$6=0,0,IF($D$6&lt;11,0,IF($D$6&lt;21,10,IF($D$6&lt;51,15,IF($D$6&lt;101,20,IF($D$6&lt;501,25,IF($D$6&lt;1001,40,60))))))),0)</f>
        <v>20</v>
      </c>
      <c r="P43" s="88">
        <f t="shared" si="9"/>
        <v>0</v>
      </c>
      <c r="Q43" s="88">
        <f t="shared" si="9"/>
        <v>0</v>
      </c>
      <c r="R43" s="88">
        <f t="shared" si="9"/>
        <v>0</v>
      </c>
      <c r="S43" s="88">
        <f t="shared" si="9"/>
        <v>0</v>
      </c>
      <c r="T43" s="88">
        <f t="shared" si="9"/>
        <v>0</v>
      </c>
      <c r="U43" s="88">
        <f t="shared" si="9"/>
        <v>0</v>
      </c>
      <c r="V43" s="88">
        <f t="shared" si="9"/>
        <v>0</v>
      </c>
      <c r="W43" s="88">
        <f t="shared" si="9"/>
        <v>0</v>
      </c>
      <c r="X43" s="88">
        <f t="shared" si="9"/>
        <v>0</v>
      </c>
      <c r="Y43" s="88"/>
    </row>
    <row r="44" spans="1:25" ht="13.5" thickBot="1">
      <c r="A44" s="677"/>
      <c r="B44" s="678" t="s">
        <v>5</v>
      </c>
      <c r="C44" s="454"/>
      <c r="D44" s="454"/>
      <c r="E44" s="454"/>
      <c r="F44" s="454"/>
      <c r="G44" s="454"/>
      <c r="H44" s="454"/>
      <c r="I44" s="454"/>
      <c r="J44" s="454"/>
      <c r="K44" s="455"/>
      <c r="O44" s="88">
        <f aca="true" t="shared" si="10" ref="O44:X44">IF(C44="x",IF($D$6=0,0,IF($D$6&lt;11,-20,IF($D$6&lt;21,-15,IF($D$6&lt;51,-10,IF($D$6&lt;101,-5,IF($D$6&lt;501,0,IF($D$6&lt;1001,10,30))))))),0)</f>
        <v>0</v>
      </c>
      <c r="P44" s="88">
        <f t="shared" si="10"/>
        <v>0</v>
      </c>
      <c r="Q44" s="88">
        <f t="shared" si="10"/>
        <v>0</v>
      </c>
      <c r="R44" s="88">
        <f t="shared" si="10"/>
        <v>0</v>
      </c>
      <c r="S44" s="88">
        <f t="shared" si="10"/>
        <v>0</v>
      </c>
      <c r="T44" s="88">
        <f t="shared" si="10"/>
        <v>0</v>
      </c>
      <c r="U44" s="88">
        <f t="shared" si="10"/>
        <v>0</v>
      </c>
      <c r="V44" s="88">
        <f t="shared" si="10"/>
        <v>0</v>
      </c>
      <c r="W44" s="88">
        <f t="shared" si="10"/>
        <v>0</v>
      </c>
      <c r="X44" s="88">
        <f t="shared" si="10"/>
        <v>0</v>
      </c>
      <c r="Y44" s="88"/>
    </row>
    <row r="45" spans="1:25" ht="13.5" thickTop="1">
      <c r="A45" s="647"/>
      <c r="B45" s="647"/>
      <c r="C45" s="682">
        <f>(((8+O40)*C31)*$K$26*$M$26)</f>
        <v>448</v>
      </c>
      <c r="D45" s="682">
        <f aca="true" t="shared" si="11" ref="D45:K45">(((8+P40)*D31)*$K$26*$M$26)</f>
        <v>320</v>
      </c>
      <c r="E45" s="682">
        <f t="shared" si="11"/>
        <v>384</v>
      </c>
      <c r="F45" s="682">
        <f t="shared" si="11"/>
        <v>0</v>
      </c>
      <c r="G45" s="682">
        <f t="shared" si="11"/>
        <v>0</v>
      </c>
      <c r="H45" s="682">
        <f t="shared" si="11"/>
        <v>0</v>
      </c>
      <c r="I45" s="682">
        <f t="shared" si="11"/>
        <v>0</v>
      </c>
      <c r="J45" s="682">
        <f t="shared" si="11"/>
        <v>0</v>
      </c>
      <c r="K45" s="682">
        <f t="shared" si="11"/>
        <v>0</v>
      </c>
      <c r="O45" s="90">
        <f aca="true" t="shared" si="12" ref="O45:X45">SUM(O41:O44)+$M$19</f>
        <v>60</v>
      </c>
      <c r="P45" s="90">
        <f t="shared" si="12"/>
        <v>120</v>
      </c>
      <c r="Q45" s="90">
        <f t="shared" si="12"/>
        <v>200</v>
      </c>
      <c r="R45" s="90">
        <f t="shared" si="12"/>
        <v>40</v>
      </c>
      <c r="S45" s="90">
        <f t="shared" si="12"/>
        <v>40</v>
      </c>
      <c r="T45" s="90">
        <f t="shared" si="12"/>
        <v>40</v>
      </c>
      <c r="U45" s="90">
        <f t="shared" si="12"/>
        <v>40</v>
      </c>
      <c r="V45" s="90">
        <f t="shared" si="12"/>
        <v>40</v>
      </c>
      <c r="W45" s="90">
        <f t="shared" si="12"/>
        <v>40</v>
      </c>
      <c r="X45" s="90">
        <f t="shared" si="12"/>
        <v>40</v>
      </c>
      <c r="Y45" s="88"/>
    </row>
    <row r="46" spans="1:25" ht="12.75">
      <c r="A46" s="679"/>
      <c r="B46" s="680" t="s">
        <v>309</v>
      </c>
      <c r="C46" s="633">
        <f>(((8+O40)*C31)*$K$26*$M$26)+((((8+O40)*C31)*$K$26*$M$26)*(O46/100))</f>
        <v>716.8</v>
      </c>
      <c r="D46" s="633">
        <f aca="true" t="shared" si="13" ref="D46:K46">(((8+P40)*D31)*$K$26*$M$26)+((((8+P40)*D31)*$K$26*$M$26)*(P46/100))</f>
        <v>704</v>
      </c>
      <c r="E46" s="633">
        <f t="shared" si="13"/>
        <v>1152</v>
      </c>
      <c r="F46" s="633">
        <f t="shared" si="13"/>
        <v>0</v>
      </c>
      <c r="G46" s="633">
        <f t="shared" si="13"/>
        <v>0</v>
      </c>
      <c r="H46" s="633">
        <f t="shared" si="13"/>
        <v>0</v>
      </c>
      <c r="I46" s="633">
        <f t="shared" si="13"/>
        <v>0</v>
      </c>
      <c r="J46" s="633">
        <f t="shared" si="13"/>
        <v>0</v>
      </c>
      <c r="K46" s="633">
        <f t="shared" si="13"/>
        <v>0</v>
      </c>
      <c r="O46" s="90">
        <f>IF(O45&lt;-99,-90,O45)</f>
        <v>60</v>
      </c>
      <c r="P46" s="90">
        <f aca="true" t="shared" si="14" ref="P46:X46">IF(P45&lt;-99,-90,P45)</f>
        <v>120</v>
      </c>
      <c r="Q46" s="90">
        <f t="shared" si="14"/>
        <v>200</v>
      </c>
      <c r="R46" s="90">
        <f t="shared" si="14"/>
        <v>40</v>
      </c>
      <c r="S46" s="90">
        <f t="shared" si="14"/>
        <v>40</v>
      </c>
      <c r="T46" s="90">
        <f t="shared" si="14"/>
        <v>40</v>
      </c>
      <c r="U46" s="90">
        <f t="shared" si="14"/>
        <v>40</v>
      </c>
      <c r="V46" s="90">
        <f t="shared" si="14"/>
        <v>40</v>
      </c>
      <c r="W46" s="90">
        <f t="shared" si="14"/>
        <v>40</v>
      </c>
      <c r="X46" s="90">
        <f t="shared" si="14"/>
        <v>40</v>
      </c>
      <c r="Y46" s="88"/>
    </row>
    <row r="47" spans="1:25" ht="12.75">
      <c r="A47" s="647"/>
      <c r="B47" s="681"/>
      <c r="O47" s="88"/>
      <c r="P47" s="88"/>
      <c r="Q47" s="88"/>
      <c r="R47" s="88"/>
      <c r="S47" s="88"/>
      <c r="T47" s="88"/>
      <c r="U47" s="88"/>
      <c r="V47" s="88"/>
      <c r="W47" s="88"/>
      <c r="X47" s="88"/>
      <c r="Y47" s="88"/>
    </row>
    <row r="48" spans="3:25" ht="12.75">
      <c r="C48" s="626" t="s">
        <v>370</v>
      </c>
      <c r="D48" s="273">
        <f>(SUM($C$31:$K$31))*$K$26</f>
        <v>112</v>
      </c>
      <c r="E48" s="83" t="s">
        <v>371</v>
      </c>
      <c r="O48" s="87"/>
      <c r="P48" s="88"/>
      <c r="Q48" s="88"/>
      <c r="R48" s="88"/>
      <c r="S48" s="88"/>
      <c r="T48" s="88"/>
      <c r="U48" s="88"/>
      <c r="V48" s="88"/>
      <c r="W48" s="88"/>
      <c r="X48" s="88"/>
      <c r="Y48" s="88"/>
    </row>
    <row r="49" spans="3:25" ht="12.75">
      <c r="C49" s="627" t="s">
        <v>372</v>
      </c>
      <c r="D49" s="628">
        <f>SUM(C46:K46)</f>
        <v>2572.8</v>
      </c>
      <c r="E49" s="600" t="s">
        <v>55</v>
      </c>
      <c r="O49" s="88"/>
      <c r="P49" s="88"/>
      <c r="Q49" s="88"/>
      <c r="R49" s="88"/>
      <c r="S49" s="88"/>
      <c r="T49" s="88"/>
      <c r="U49" s="88"/>
      <c r="V49" s="88"/>
      <c r="W49" s="88"/>
      <c r="X49" s="88"/>
      <c r="Y49" s="88"/>
    </row>
    <row r="50" spans="3:25" ht="12.75">
      <c r="C50" s="627" t="s">
        <v>373</v>
      </c>
      <c r="D50" s="629">
        <f>IF(O50&lt;0.5,1,O50)</f>
        <v>16</v>
      </c>
      <c r="E50" s="600" t="str">
        <f>IF(ROUND(D49*15/D6*28/24/7,0)&gt;52,"months","calendar weeks")</f>
        <v>months</v>
      </c>
      <c r="G50" s="267">
        <f>IF(P50="Plan is unrealistic, increase size of workforce",P50,P51)</f>
      </c>
      <c r="O50" s="87">
        <f>IF(ROUND(D49*15/D6*28/24/7,0)&gt;52,ROUND(D49*15/D6*28/24/7/4,0),ROUND(D49*15/D6*28/24/7,0))</f>
        <v>16</v>
      </c>
      <c r="P50" s="90">
        <f>IF(D50&gt;120,IF(E50="months","Plan is unrealistic, increase size of workforce"),"")</f>
      </c>
      <c r="Q50" s="88"/>
      <c r="R50" s="88"/>
      <c r="S50" s="88"/>
      <c r="T50" s="88"/>
      <c r="U50" s="88"/>
      <c r="V50" s="88"/>
      <c r="W50" s="88"/>
      <c r="X50" s="88"/>
      <c r="Y50" s="88"/>
    </row>
    <row r="51" spans="3:25" ht="12.75">
      <c r="C51" s="630" t="s">
        <v>374</v>
      </c>
      <c r="D51" s="631">
        <f>IF(O51&gt;D49,D49,O51)</f>
        <v>160.8</v>
      </c>
      <c r="E51" s="7" t="s">
        <v>82</v>
      </c>
      <c r="O51" s="87">
        <f>IF(ROUND(D49*15/D6*28/24/7,0)&gt;52,D49/D50,D49/D50*4)</f>
        <v>160.8</v>
      </c>
      <c r="P51" s="90">
        <f>IF(D50=1,IF(E50="calendar weeks","Plan is unrealistic, reduce size of workforce"),"")</f>
      </c>
      <c r="Q51" s="88"/>
      <c r="R51" s="88"/>
      <c r="S51" s="88"/>
      <c r="T51" s="88"/>
      <c r="U51" s="88"/>
      <c r="V51" s="88"/>
      <c r="W51" s="88"/>
      <c r="X51" s="88"/>
      <c r="Y51" s="88"/>
    </row>
    <row r="52" spans="3:25" ht="12.75">
      <c r="C52" s="630" t="s">
        <v>375</v>
      </c>
      <c r="D52" s="631">
        <f>IF(C23&gt;0,SUM(C45:K45)/210,SUM(C45:K45)/70)</f>
        <v>16.457142857142856</v>
      </c>
      <c r="E52" s="7" t="s">
        <v>82</v>
      </c>
      <c r="O52" s="274">
        <f>IF(C23&gt;0,D49*D48/10000,D49*D48/10000)</f>
        <v>28.815360000000002</v>
      </c>
      <c r="P52" s="88"/>
      <c r="Q52" s="88"/>
      <c r="R52" s="88"/>
      <c r="S52" s="88"/>
      <c r="T52" s="88"/>
      <c r="U52" s="88"/>
      <c r="V52" s="88"/>
      <c r="W52" s="88"/>
      <c r="X52" s="88"/>
      <c r="Y52" s="88"/>
    </row>
    <row r="53" spans="15:25" ht="12.75">
      <c r="O53" s="646">
        <f>$D$6*(SUM($L$10:$L$16)/35)/100</f>
        <v>1.1428571428571428</v>
      </c>
      <c r="P53" s="88"/>
      <c r="Q53" s="88"/>
      <c r="R53" s="88"/>
      <c r="S53" s="88"/>
      <c r="T53" s="88"/>
      <c r="U53" s="88"/>
      <c r="V53" s="88"/>
      <c r="W53" s="88"/>
      <c r="X53" s="88"/>
      <c r="Y53" s="88"/>
    </row>
    <row r="54" spans="3:5" ht="12.75">
      <c r="C54" s="632" t="s">
        <v>376</v>
      </c>
      <c r="D54" s="645">
        <f>ROUND(IF(O53&gt;0,IF(O53&lt;0.5,1,O53)),0)</f>
        <v>1</v>
      </c>
      <c r="E54" s="382" t="s">
        <v>377</v>
      </c>
    </row>
    <row r="55" spans="2:6" ht="12.75">
      <c r="B55" s="97">
        <f>IF(E50="months",IF(D54*D50&gt;$D$6/2,"Much if not all of the workforce will die and be replaced before the plan is completed.",""),IF(E50="calendar weeks",IF(D54*(D50/4)&gt;$D$6/2,"Much if not all of the workforce will die and be replaced before the plan is completed.",""),""))</f>
      </c>
      <c r="C55" s="632"/>
      <c r="F55" s="1"/>
    </row>
    <row r="56" ht="12.75">
      <c r="B56" s="97">
        <f>IF(B55="Much if not all of the workforce will die and be replaced before the plan is completed.","Revolts or desertions are to be expected.","")</f>
      </c>
    </row>
    <row r="57" ht="16.5">
      <c r="A57" s="683" t="s">
        <v>378</v>
      </c>
    </row>
    <row r="58" ht="13.5" thickBot="1"/>
    <row r="59" spans="1:18" ht="13.5" thickTop="1">
      <c r="A59" s="605" t="s">
        <v>379</v>
      </c>
      <c r="B59" s="606"/>
      <c r="C59" s="607"/>
      <c r="E59" s="620" t="s">
        <v>380</v>
      </c>
      <c r="F59" s="621"/>
      <c r="G59" s="649"/>
      <c r="O59" s="88">
        <f>IF(C60&gt;0,1,0)</f>
        <v>0</v>
      </c>
      <c r="P59" s="88">
        <f>IF(G60&gt;0,1,0)</f>
        <v>0</v>
      </c>
      <c r="Q59" s="88"/>
      <c r="R59" s="88"/>
    </row>
    <row r="60" spans="1:18" ht="13.5">
      <c r="A60" s="602" t="s">
        <v>381</v>
      </c>
      <c r="B60" s="684" t="s">
        <v>382</v>
      </c>
      <c r="C60" s="635"/>
      <c r="E60" s="691" t="s">
        <v>383</v>
      </c>
      <c r="F60" s="170" t="s">
        <v>357</v>
      </c>
      <c r="G60" s="639"/>
      <c r="O60" s="88">
        <f>IF(C61&gt;0,10/3,0)</f>
        <v>3.3333333333333335</v>
      </c>
      <c r="P60" s="88">
        <f>IF(G61&gt;0,2,0)</f>
        <v>2</v>
      </c>
      <c r="Q60" s="88"/>
      <c r="R60" s="88"/>
    </row>
    <row r="61" spans="1:18" ht="13.5">
      <c r="A61" s="602" t="s">
        <v>73</v>
      </c>
      <c r="B61" s="684" t="s">
        <v>384</v>
      </c>
      <c r="C61" s="635" t="s">
        <v>340</v>
      </c>
      <c r="E61" s="691" t="s">
        <v>70</v>
      </c>
      <c r="F61" s="170" t="s">
        <v>359</v>
      </c>
      <c r="G61" s="639" t="s">
        <v>340</v>
      </c>
      <c r="O61" s="88">
        <f>IF(C62&gt;0,10,0)</f>
        <v>0</v>
      </c>
      <c r="P61" s="88">
        <f>IF(G62&gt;0,4,0)</f>
        <v>0</v>
      </c>
      <c r="Q61" s="88"/>
      <c r="R61" s="88"/>
    </row>
    <row r="62" spans="1:18" ht="13.5">
      <c r="A62" s="602" t="s">
        <v>70</v>
      </c>
      <c r="B62" s="684" t="s">
        <v>385</v>
      </c>
      <c r="C62" s="635"/>
      <c r="E62" s="691" t="s">
        <v>386</v>
      </c>
      <c r="F62" s="170" t="s">
        <v>387</v>
      </c>
      <c r="G62" s="639"/>
      <c r="O62" s="88">
        <f>IF(C63&gt;0,100/3,0)</f>
        <v>0</v>
      </c>
      <c r="P62" s="88">
        <f>IF(G63&gt;0,6,0)</f>
        <v>0</v>
      </c>
      <c r="Q62" s="88"/>
      <c r="R62" s="88"/>
    </row>
    <row r="63" spans="1:18" ht="14.25" thickBot="1">
      <c r="A63" s="603" t="s">
        <v>76</v>
      </c>
      <c r="B63" s="685" t="s">
        <v>388</v>
      </c>
      <c r="C63" s="636"/>
      <c r="E63" s="691" t="s">
        <v>389</v>
      </c>
      <c r="F63" s="170" t="s">
        <v>390</v>
      </c>
      <c r="G63" s="639"/>
      <c r="O63" s="90">
        <f>SUM(O59:O62)</f>
        <v>3.3333333333333335</v>
      </c>
      <c r="P63" s="90">
        <f>SUM(P59:P62)</f>
        <v>2</v>
      </c>
      <c r="Q63" s="88"/>
      <c r="R63" s="88"/>
    </row>
    <row r="64" spans="5:18" ht="14.25" thickBot="1" thickTop="1">
      <c r="E64" s="689" t="s">
        <v>391</v>
      </c>
      <c r="F64" s="690"/>
      <c r="G64" s="640" t="s">
        <v>340</v>
      </c>
      <c r="O64" s="88"/>
      <c r="P64" s="88"/>
      <c r="Q64" s="88"/>
      <c r="R64" s="88"/>
    </row>
    <row r="65" spans="1:18" ht="13.5" thickTop="1">
      <c r="A65" s="686" t="s">
        <v>392</v>
      </c>
      <c r="B65" s="687"/>
      <c r="C65" s="688"/>
      <c r="O65" s="88"/>
      <c r="P65" s="88"/>
      <c r="Q65" s="88"/>
      <c r="R65" s="88"/>
    </row>
    <row r="66" spans="1:18" ht="12.75">
      <c r="A66" s="613" t="s">
        <v>393</v>
      </c>
      <c r="B66" s="173"/>
      <c r="C66" s="637"/>
      <c r="F66" s="627" t="s">
        <v>372</v>
      </c>
      <c r="G66" s="628">
        <f>O71+(O71*M19/100)</f>
        <v>4480</v>
      </c>
      <c r="H66" s="600" t="s">
        <v>55</v>
      </c>
      <c r="O66" s="91">
        <f>IF(C66&gt;0,180*$O$63*$P$63,0)</f>
        <v>0</v>
      </c>
      <c r="P66" s="88"/>
      <c r="Q66" s="88"/>
      <c r="R66" s="88"/>
    </row>
    <row r="67" spans="1:18" ht="12.75">
      <c r="A67" s="613" t="s">
        <v>394</v>
      </c>
      <c r="B67" s="173"/>
      <c r="C67" s="637" t="s">
        <v>340</v>
      </c>
      <c r="F67" s="627" t="s">
        <v>373</v>
      </c>
      <c r="G67" s="629">
        <f>ROUND(IF(Q67&lt;0.5,1,Q67),0)</f>
        <v>22</v>
      </c>
      <c r="H67" s="600" t="str">
        <f>IF(G66*3/D6*28/24/7&gt;52,"months","calendar weeks")</f>
        <v>calendar weeks</v>
      </c>
      <c r="J67" s="267">
        <f>IF(R67="Plan is unrealistic, increase size of workforce",R67,R68)</f>
      </c>
      <c r="O67" s="91">
        <f>IF(C67&gt;0,180*2*$O$63*$P$63,0)</f>
        <v>2400</v>
      </c>
      <c r="P67" s="88"/>
      <c r="Q67" s="87">
        <f>IF(G66*3/D6*28/24/7&gt;52,G66*3/D6*28/24/7/4,G66*3/D6*28/24/7)</f>
        <v>22.400000000000002</v>
      </c>
      <c r="R67" s="90">
        <f>IF(G67&gt;120,IF(H67="months","Plan is unrealistic, increase size of workforce"),"")</f>
      </c>
    </row>
    <row r="68" spans="1:18" ht="12.75">
      <c r="A68" s="613" t="s">
        <v>395</v>
      </c>
      <c r="B68" s="173"/>
      <c r="C68" s="637"/>
      <c r="F68" s="630" t="s">
        <v>374</v>
      </c>
      <c r="G68" s="631">
        <f>IF(Q68&gt;G66,G66,Q68)</f>
        <v>814.5454545454545</v>
      </c>
      <c r="H68" s="75" t="s">
        <v>82</v>
      </c>
      <c r="O68" s="91">
        <f>IF(C68&gt;0,180*5*$O$63*$P$63,0)</f>
        <v>0</v>
      </c>
      <c r="P68" s="88"/>
      <c r="Q68" s="87">
        <f>IF(G66*3/D6*28/24/7&gt;52,G66/G67,G66/G67*4)</f>
        <v>814.5454545454545</v>
      </c>
      <c r="R68" s="90">
        <f>IF(G67=1,IF(H67="calendar weeks","Plan is unrealistic, reduce size of workforce"),"")</f>
      </c>
    </row>
    <row r="69" spans="1:18" ht="13.5" thickBot="1">
      <c r="A69" s="614" t="s">
        <v>396</v>
      </c>
      <c r="B69" s="184"/>
      <c r="C69" s="638"/>
      <c r="F69" s="630" t="s">
        <v>375</v>
      </c>
      <c r="G69" s="631">
        <f>O71/100</f>
        <v>32</v>
      </c>
      <c r="H69" s="75" t="s">
        <v>82</v>
      </c>
      <c r="O69" s="91">
        <f>IF(C69&gt;0,180*10*$O$63*$P$63,0)</f>
        <v>0</v>
      </c>
      <c r="P69" s="88"/>
      <c r="Q69" s="88"/>
      <c r="R69" s="88"/>
    </row>
    <row r="70" spans="15:18" ht="13.5" thickTop="1">
      <c r="O70" s="257">
        <f>SUM(O66:O69)</f>
        <v>2400</v>
      </c>
      <c r="P70" s="91">
        <f>IF(G64&gt;0,O70/3,0)</f>
        <v>800</v>
      </c>
      <c r="Q70" s="88"/>
      <c r="R70" s="88"/>
    </row>
    <row r="71" spans="6:18" ht="12.75">
      <c r="F71" s="632" t="s">
        <v>376</v>
      </c>
      <c r="G71" s="645">
        <f>ROUND(IF(Q71&gt;0,IF(Q71&lt;0.5,1,Q71)),0)</f>
        <v>1</v>
      </c>
      <c r="H71" s="382" t="s">
        <v>377</v>
      </c>
      <c r="O71" s="92">
        <f>SUM(O70:P70)</f>
        <v>3200</v>
      </c>
      <c r="P71" s="88"/>
      <c r="Q71" s="646">
        <f>$D$6*(SUM($L$10:$L$16)/35)/100</f>
        <v>1.1428571428571428</v>
      </c>
      <c r="R71" s="88"/>
    </row>
    <row r="72" ht="12.75">
      <c r="E72" s="97">
        <f>IF(H67="months",IF(G71*G67&gt;$D$6/2,"Much if not all of the workforce will die and be replaced before the plan is completed.",""),IF(H67="calendar weeks",IF(G71*(G67/4)&gt;$D$6/2,"Much if not all of the workforce will die and be replaced before the plan is completed.",""),""))</f>
      </c>
    </row>
    <row r="73" ht="12.75">
      <c r="E73" s="97">
        <f>IF(E72="Much if not all of the workforce will die and be replaced before the plan is completed.","Revolts or desertions are to be expected.","")</f>
      </c>
    </row>
  </sheetData>
  <sheetProtection sheet="1" objects="1" scenarios="1"/>
  <printOptions/>
  <pageMargins left="0.75" right="0.75" top="1" bottom="1" header="0.5" footer="0.5"/>
  <pageSetup horizontalDpi="300" verticalDpi="300" orientation="portrait" r:id="rId2"/>
  <headerFooter alignWithMargins="0">
    <oddHeader>&amp;C&amp;A</oddHeader>
    <oddFooter>&amp;CPage &amp;P</oddFooter>
  </headerFooter>
  <legacyDrawing r:id="rId1"/>
</worksheet>
</file>

<file path=xl/worksheets/sheet5.xml><?xml version="1.0" encoding="utf-8"?>
<worksheet xmlns="http://schemas.openxmlformats.org/spreadsheetml/2006/main" xmlns:r="http://schemas.openxmlformats.org/officeDocument/2006/relationships">
  <dimension ref="A1:AL66"/>
  <sheetViews>
    <sheetView zoomScalePageLayoutView="0" workbookViewId="0" topLeftCell="A1">
      <selection activeCell="D6" sqref="D6"/>
    </sheetView>
  </sheetViews>
  <sheetFormatPr defaultColWidth="9.140625" defaultRowHeight="12.75"/>
  <cols>
    <col min="15" max="15" width="9.421875" style="0" customWidth="1"/>
  </cols>
  <sheetData>
    <row r="1" spans="2:14" ht="23.25">
      <c r="B1" s="8"/>
      <c r="C1" s="8"/>
      <c r="D1" s="624" t="s">
        <v>397</v>
      </c>
      <c r="E1" s="8"/>
      <c r="F1" s="8"/>
      <c r="G1" s="8"/>
      <c r="H1" s="8"/>
      <c r="I1" s="643"/>
      <c r="J1" s="88"/>
      <c r="K1" s="88"/>
      <c r="L1" s="88"/>
      <c r="M1" s="88"/>
      <c r="N1" s="88"/>
    </row>
    <row r="2" spans="1:14" ht="16.5">
      <c r="A2" s="683"/>
      <c r="I2" s="88"/>
      <c r="J2" s="88"/>
      <c r="K2" s="88"/>
      <c r="L2" s="88"/>
      <c r="M2" s="88"/>
      <c r="N2" s="88"/>
    </row>
    <row r="3" spans="1:14" ht="16.5">
      <c r="A3" s="683"/>
      <c r="I3" s="88"/>
      <c r="J3" s="88"/>
      <c r="K3" s="88"/>
      <c r="L3" s="88"/>
      <c r="M3" s="88"/>
      <c r="N3" s="88"/>
    </row>
    <row r="4" spans="9:14" ht="12.75">
      <c r="I4" s="88"/>
      <c r="J4" s="88"/>
      <c r="K4" s="88"/>
      <c r="L4" s="88"/>
      <c r="M4" s="88"/>
      <c r="N4" s="88"/>
    </row>
    <row r="5" spans="3:14" ht="12.75">
      <c r="C5" s="552" t="s">
        <v>335</v>
      </c>
      <c r="D5" s="8"/>
      <c r="E5" s="8"/>
      <c r="I5" s="88"/>
      <c r="J5" s="88"/>
      <c r="K5" s="88"/>
      <c r="L5" s="88"/>
      <c r="M5" s="88"/>
      <c r="N5" s="88"/>
    </row>
    <row r="6" spans="4:24" ht="12.75">
      <c r="D6" s="634">
        <v>300</v>
      </c>
      <c r="I6" s="88"/>
      <c r="J6" s="88"/>
      <c r="U6" s="88">
        <f>IF(D6&gt;0,IF($D$6=0,0,IF($D$6&lt;11,-20,IF($D$6&lt;21,-15,IF($D$6&lt;51,-10,IF($D$6&lt;101,-5,IF($D$6&lt;501,0,IF($D$6&lt;1001,10,30))))))),0)</f>
        <v>0</v>
      </c>
      <c r="V6" s="88"/>
      <c r="W6" s="88"/>
      <c r="X6" s="88"/>
    </row>
    <row r="7" spans="9:24" ht="12.75">
      <c r="I7" s="88"/>
      <c r="J7" s="824"/>
      <c r="U7" s="88"/>
      <c r="V7" s="88"/>
      <c r="W7" s="88"/>
      <c r="X7" s="88"/>
    </row>
    <row r="8" spans="2:24" ht="13.5" thickBot="1">
      <c r="B8" s="363"/>
      <c r="C8" s="363"/>
      <c r="D8" s="622" t="s">
        <v>336</v>
      </c>
      <c r="E8" s="363"/>
      <c r="F8" s="363"/>
      <c r="G8" s="8"/>
      <c r="H8" s="8"/>
      <c r="I8" s="88"/>
      <c r="J8" s="823"/>
      <c r="U8" s="88"/>
      <c r="V8" s="88"/>
      <c r="W8" s="88"/>
      <c r="X8" s="88"/>
    </row>
    <row r="9" spans="1:24" ht="13.5" thickTop="1">
      <c r="A9" s="705" t="s">
        <v>398</v>
      </c>
      <c r="B9" s="606"/>
      <c r="C9" s="607"/>
      <c r="E9" s="706" t="s">
        <v>399</v>
      </c>
      <c r="F9" s="697"/>
      <c r="G9" s="702" t="s">
        <v>400</v>
      </c>
      <c r="I9" s="88"/>
      <c r="J9" s="823"/>
      <c r="U9" s="88"/>
      <c r="V9" s="88"/>
      <c r="W9" s="88"/>
      <c r="X9" s="88"/>
    </row>
    <row r="10" spans="1:24" ht="12.75">
      <c r="A10" s="602"/>
      <c r="B10" s="170" t="s">
        <v>146</v>
      </c>
      <c r="C10" s="635"/>
      <c r="E10" s="692"/>
      <c r="F10" s="170" t="s">
        <v>401</v>
      </c>
      <c r="G10" s="693"/>
      <c r="I10" s="88"/>
      <c r="J10" s="88"/>
      <c r="U10" s="88">
        <f>IF(C10&gt;0,15,0)</f>
        <v>0</v>
      </c>
      <c r="V10" s="88">
        <f>IF(G10&gt;0,0,0)</f>
        <v>0</v>
      </c>
      <c r="W10" s="88"/>
      <c r="X10" s="88"/>
    </row>
    <row r="11" spans="1:24" ht="12.75">
      <c r="A11" s="602"/>
      <c r="B11" s="170" t="s">
        <v>73</v>
      </c>
      <c r="C11" s="635" t="s">
        <v>340</v>
      </c>
      <c r="E11" s="692"/>
      <c r="F11" s="170" t="s">
        <v>402</v>
      </c>
      <c r="G11" s="693"/>
      <c r="I11" s="88"/>
      <c r="J11" s="88"/>
      <c r="U11" s="88">
        <v>0</v>
      </c>
      <c r="V11" s="88">
        <f>IF(G11&gt;0,15,0)</f>
        <v>0</v>
      </c>
      <c r="W11" s="88"/>
      <c r="X11" s="88"/>
    </row>
    <row r="12" spans="1:24" ht="12.75">
      <c r="A12" s="602"/>
      <c r="B12" s="170" t="s">
        <v>147</v>
      </c>
      <c r="C12" s="635"/>
      <c r="E12" s="692"/>
      <c r="F12" s="170" t="s">
        <v>403</v>
      </c>
      <c r="G12" s="693" t="s">
        <v>340</v>
      </c>
      <c r="I12" s="88"/>
      <c r="J12" s="88"/>
      <c r="U12" s="88">
        <f>IF(C12&gt;0,-10,0)</f>
        <v>0</v>
      </c>
      <c r="V12" s="88">
        <f>IF(G12&gt;0,30,0)</f>
        <v>30</v>
      </c>
      <c r="W12" s="88"/>
      <c r="X12" s="88"/>
    </row>
    <row r="13" spans="1:24" ht="13.5" thickBot="1">
      <c r="A13" s="603"/>
      <c r="B13" s="604" t="s">
        <v>343</v>
      </c>
      <c r="C13" s="636"/>
      <c r="E13" s="694"/>
      <c r="F13" s="695" t="s">
        <v>404</v>
      </c>
      <c r="G13" s="696"/>
      <c r="I13" s="88"/>
      <c r="J13" s="88"/>
      <c r="U13" s="88">
        <f>IF(C13&gt;0,-20,0)</f>
        <v>0</v>
      </c>
      <c r="V13" s="88">
        <f>IF(G13&gt;0,45,0)</f>
        <v>0</v>
      </c>
      <c r="W13" s="88"/>
      <c r="X13" s="88"/>
    </row>
    <row r="14" spans="3:24" ht="14.25" thickBot="1" thickTop="1">
      <c r="C14" s="647"/>
      <c r="G14" s="647"/>
      <c r="I14" s="88"/>
      <c r="J14" s="88"/>
      <c r="U14" s="88"/>
      <c r="V14" s="88"/>
      <c r="W14" s="88"/>
      <c r="X14" s="88"/>
    </row>
    <row r="15" spans="1:24" ht="13.5" thickTop="1">
      <c r="A15" s="704" t="s">
        <v>345</v>
      </c>
      <c r="B15" s="616"/>
      <c r="C15" s="701" t="s">
        <v>400</v>
      </c>
      <c r="D15" s="601"/>
      <c r="E15" s="704" t="s">
        <v>346</v>
      </c>
      <c r="F15" s="616"/>
      <c r="G15" s="701" t="s">
        <v>400</v>
      </c>
      <c r="I15" s="88"/>
      <c r="J15" s="88"/>
      <c r="U15" s="88"/>
      <c r="V15" s="88"/>
      <c r="W15" s="88"/>
      <c r="X15" s="88"/>
    </row>
    <row r="16" spans="1:24" ht="12.75">
      <c r="A16" s="613"/>
      <c r="B16" s="170" t="s">
        <v>146</v>
      </c>
      <c r="C16" s="637"/>
      <c r="E16" s="613"/>
      <c r="F16" s="170" t="s">
        <v>347</v>
      </c>
      <c r="G16" s="637"/>
      <c r="I16" s="88"/>
      <c r="J16" s="88"/>
      <c r="U16" s="88">
        <f>IF(C16&gt;0,25,0)</f>
        <v>0</v>
      </c>
      <c r="V16" s="88">
        <f>IF(G16&gt;0,40,0)</f>
        <v>0</v>
      </c>
      <c r="W16" s="88"/>
      <c r="X16" s="88"/>
    </row>
    <row r="17" spans="1:24" ht="12.75">
      <c r="A17" s="613"/>
      <c r="B17" s="170" t="s">
        <v>73</v>
      </c>
      <c r="C17" s="637" t="s">
        <v>340</v>
      </c>
      <c r="E17" s="613"/>
      <c r="F17" s="170" t="s">
        <v>348</v>
      </c>
      <c r="G17" s="637" t="s">
        <v>340</v>
      </c>
      <c r="I17" s="88"/>
      <c r="J17" s="88"/>
      <c r="U17" s="88">
        <v>0</v>
      </c>
      <c r="V17" s="88">
        <v>0</v>
      </c>
      <c r="W17" s="88"/>
      <c r="X17" s="88"/>
    </row>
    <row r="18" spans="1:24" ht="12.75">
      <c r="A18" s="613"/>
      <c r="B18" s="170" t="s">
        <v>147</v>
      </c>
      <c r="C18" s="637"/>
      <c r="E18" s="613"/>
      <c r="F18" s="170" t="s">
        <v>349</v>
      </c>
      <c r="G18" s="637"/>
      <c r="I18" s="88"/>
      <c r="J18" s="88"/>
      <c r="U18" s="88">
        <f>IF(C18&gt;0,-15,0)</f>
        <v>0</v>
      </c>
      <c r="V18" s="88">
        <f>IF(G18&gt;0,-15,0)</f>
        <v>0</v>
      </c>
      <c r="W18" s="88"/>
      <c r="X18" s="88"/>
    </row>
    <row r="19" spans="1:24" ht="13.5" thickBot="1">
      <c r="A19" s="614"/>
      <c r="B19" s="182" t="s">
        <v>343</v>
      </c>
      <c r="C19" s="638"/>
      <c r="E19" s="614"/>
      <c r="F19" s="182" t="s">
        <v>350</v>
      </c>
      <c r="G19" s="638"/>
      <c r="I19" s="88"/>
      <c r="J19" s="88"/>
      <c r="U19" s="88">
        <f>IF(C19&gt;0,-20,0)</f>
        <v>0</v>
      </c>
      <c r="V19" s="88">
        <f>IF(G19&gt;0,-20,0)</f>
        <v>0</v>
      </c>
      <c r="W19" s="90"/>
      <c r="X19" s="88"/>
    </row>
    <row r="20" spans="3:24" ht="14.25" thickBot="1" thickTop="1">
      <c r="C20" s="647"/>
      <c r="G20" s="647"/>
      <c r="I20" s="88"/>
      <c r="J20" s="88"/>
      <c r="U20" s="88"/>
      <c r="V20" s="88"/>
      <c r="W20" s="88"/>
      <c r="X20" s="88"/>
    </row>
    <row r="21" spans="1:24" ht="13.5" thickTop="1">
      <c r="A21" s="713" t="s">
        <v>405</v>
      </c>
      <c r="B21" s="714"/>
      <c r="C21" s="715" t="s">
        <v>400</v>
      </c>
      <c r="E21" s="707" t="s">
        <v>406</v>
      </c>
      <c r="F21" s="611"/>
      <c r="G21" s="699" t="s">
        <v>400</v>
      </c>
      <c r="V21" s="88"/>
      <c r="W21" s="90"/>
      <c r="X21" s="88"/>
    </row>
    <row r="22" spans="1:24" ht="12.75">
      <c r="A22" s="708"/>
      <c r="B22" s="170" t="s">
        <v>407</v>
      </c>
      <c r="C22" s="709"/>
      <c r="E22" s="608"/>
      <c r="F22" s="170" t="s">
        <v>236</v>
      </c>
      <c r="G22" s="641"/>
      <c r="U22" s="88">
        <v>0</v>
      </c>
      <c r="V22" s="88">
        <v>0</v>
      </c>
      <c r="W22" s="88"/>
      <c r="X22" s="88"/>
    </row>
    <row r="23" spans="1:24" ht="12.75">
      <c r="A23" s="708"/>
      <c r="B23" s="170" t="s">
        <v>408</v>
      </c>
      <c r="C23" s="709" t="s">
        <v>340</v>
      </c>
      <c r="E23" s="608"/>
      <c r="F23" s="170" t="s">
        <v>409</v>
      </c>
      <c r="G23" s="641" t="s">
        <v>340</v>
      </c>
      <c r="U23" s="88">
        <f>IF(C23&gt;0,20,0)</f>
        <v>20</v>
      </c>
      <c r="V23" s="88">
        <f>IF(G23&gt;0,10,0)</f>
        <v>10</v>
      </c>
      <c r="W23" s="88"/>
      <c r="X23" s="88"/>
    </row>
    <row r="24" spans="1:24" ht="12.75">
      <c r="A24" s="708"/>
      <c r="B24" s="170" t="s">
        <v>410</v>
      </c>
      <c r="C24" s="709"/>
      <c r="E24" s="608"/>
      <c r="F24" s="170" t="s">
        <v>411</v>
      </c>
      <c r="G24" s="641"/>
      <c r="U24" s="88">
        <f>IF(C24&gt;0,40,0)</f>
        <v>0</v>
      </c>
      <c r="V24" s="88">
        <f>IF(G24&gt;0,20,0)</f>
        <v>0</v>
      </c>
      <c r="W24" s="88" t="s">
        <v>412</v>
      </c>
      <c r="X24" s="88"/>
    </row>
    <row r="25" spans="1:24" ht="13.5" thickBot="1">
      <c r="A25" s="710"/>
      <c r="B25" s="711" t="s">
        <v>413</v>
      </c>
      <c r="C25" s="712"/>
      <c r="E25" s="194"/>
      <c r="F25" s="609" t="s">
        <v>414</v>
      </c>
      <c r="G25" s="642"/>
      <c r="U25" s="88">
        <f>IF(C25&gt;0,80,0)</f>
        <v>0</v>
      </c>
      <c r="V25" s="88">
        <f>IF(G25&gt;0,40,0)</f>
        <v>0</v>
      </c>
      <c r="W25" s="716">
        <f>SUM(U6:U25,V10:V25)</f>
        <v>60</v>
      </c>
      <c r="X25" s="88"/>
    </row>
    <row r="26" spans="21:37" ht="14.25" thickBot="1" thickTop="1">
      <c r="U26" s="89"/>
      <c r="V26" s="90"/>
      <c r="W26" s="790" t="s">
        <v>415</v>
      </c>
      <c r="X26" s="643"/>
      <c r="Y26" s="643"/>
      <c r="Z26" s="150" t="s">
        <v>416</v>
      </c>
      <c r="AA26" s="150" t="s">
        <v>417</v>
      </c>
      <c r="AB26" s="791"/>
      <c r="AC26" s="792"/>
      <c r="AD26" s="792"/>
      <c r="AE26" s="791"/>
      <c r="AF26" s="793" t="s">
        <v>309</v>
      </c>
      <c r="AG26" s="793" t="s">
        <v>309</v>
      </c>
      <c r="AH26" s="793" t="s">
        <v>309</v>
      </c>
      <c r="AI26" s="793" t="s">
        <v>309</v>
      </c>
      <c r="AJ26" s="793" t="s">
        <v>309</v>
      </c>
      <c r="AK26" s="791"/>
    </row>
    <row r="27" spans="3:37" ht="13.5" thickTop="1">
      <c r="C27" s="703" t="s">
        <v>418</v>
      </c>
      <c r="D27" s="621"/>
      <c r="E27" s="700" t="s">
        <v>111</v>
      </c>
      <c r="U27" s="791"/>
      <c r="V27" s="791"/>
      <c r="W27" s="794" t="s">
        <v>419</v>
      </c>
      <c r="X27" s="794" t="s">
        <v>420</v>
      </c>
      <c r="Y27" s="793" t="s">
        <v>421</v>
      </c>
      <c r="Z27" s="793" t="s">
        <v>422</v>
      </c>
      <c r="AA27" s="793" t="s">
        <v>422</v>
      </c>
      <c r="AB27" s="793" t="s">
        <v>423</v>
      </c>
      <c r="AC27" s="793" t="s">
        <v>424</v>
      </c>
      <c r="AD27" s="794" t="s">
        <v>425</v>
      </c>
      <c r="AE27" s="794" t="s">
        <v>426</v>
      </c>
      <c r="AF27" s="794" t="s">
        <v>427</v>
      </c>
      <c r="AG27" s="791" t="s">
        <v>428</v>
      </c>
      <c r="AH27" s="793" t="s">
        <v>429</v>
      </c>
      <c r="AI27" s="793" t="s">
        <v>430</v>
      </c>
      <c r="AJ27" s="793" t="s">
        <v>431</v>
      </c>
      <c r="AK27" s="791"/>
    </row>
    <row r="28" spans="3:37" ht="14.25" thickBot="1">
      <c r="C28" s="618"/>
      <c r="D28" s="619" t="s">
        <v>432</v>
      </c>
      <c r="E28" s="640">
        <v>4500</v>
      </c>
      <c r="U28" s="791" t="s">
        <v>71</v>
      </c>
      <c r="V28" s="791">
        <f>IF(C31&gt;0,1,0)</f>
        <v>0</v>
      </c>
      <c r="W28" s="795">
        <f>$E$28/97.2*$V$28</f>
        <v>0</v>
      </c>
      <c r="X28" s="796">
        <f>$E$28/0.9*V28</f>
        <v>0</v>
      </c>
      <c r="Y28" s="796">
        <f>$E$28*15.556*V28</f>
        <v>0</v>
      </c>
      <c r="Z28" s="796">
        <f>IF($C$38&gt;0,$Y28*0.04,0)</f>
        <v>0</v>
      </c>
      <c r="AA28" s="796">
        <f>IF($C$39&gt;0,$Y28*0.1,0)</f>
        <v>0</v>
      </c>
      <c r="AB28" s="797">
        <f>$E$28*13.889*$V$32*V28</f>
        <v>0</v>
      </c>
      <c r="AC28" s="796">
        <f>$E$49*80*V28*V32</f>
        <v>0</v>
      </c>
      <c r="AD28" s="798">
        <f>(IF($C$34&gt;0,270*80*$K$51,IF($C$33&gt;0,180*60*$K$51,IF($C$31&gt;0,45*20*$K$51,90*30*$K$51))))*V28</f>
        <v>0</v>
      </c>
      <c r="AE28" s="796">
        <f>AD28*0.02</f>
        <v>0</v>
      </c>
      <c r="AF28" s="791">
        <f>G32*5</f>
        <v>3000</v>
      </c>
      <c r="AG28" s="791">
        <f>G33*50</f>
        <v>15000</v>
      </c>
      <c r="AH28" s="791">
        <f>G35*600</f>
        <v>1200</v>
      </c>
      <c r="AI28" s="791">
        <f>G36*3000</f>
        <v>3000</v>
      </c>
      <c r="AJ28" s="791">
        <f>G37*12000</f>
        <v>0</v>
      </c>
      <c r="AK28" s="791"/>
    </row>
    <row r="29" spans="21:37" ht="15" thickBot="1" thickTop="1">
      <c r="U29" s="791" t="s">
        <v>73</v>
      </c>
      <c r="V29" s="791">
        <f>IF(C32&gt;0,1,0)</f>
        <v>0</v>
      </c>
      <c r="W29" s="795">
        <f>$E$28/156.6*$V$29</f>
        <v>0</v>
      </c>
      <c r="X29" s="796">
        <f>$E$28/0.9*V29</f>
        <v>0</v>
      </c>
      <c r="Y29" s="796">
        <f>$E$28*20.69*V29</f>
        <v>0</v>
      </c>
      <c r="Z29" s="796">
        <f>IF($C$38&gt;0,Y29*0.04,0)</f>
        <v>0</v>
      </c>
      <c r="AA29" s="796">
        <f>IF($C$39&gt;0,$Y29*0.2,0)</f>
        <v>0</v>
      </c>
      <c r="AB29" s="797">
        <f>$E$28*11.034*$V$32*V29</f>
        <v>0</v>
      </c>
      <c r="AC29" s="796">
        <f>$E$49*91*V29*V32</f>
        <v>0</v>
      </c>
      <c r="AD29" s="798">
        <f>(IF($C$34&gt;0,270*80*$K$51,IF($C$33&gt;0,180*60*$K$51,IF($C$31&gt;0,45*20*$K$51,90*30*$K$51))))*V29</f>
        <v>0</v>
      </c>
      <c r="AE29" s="796">
        <f>AD29*0.02</f>
        <v>0</v>
      </c>
      <c r="AF29" s="791"/>
      <c r="AG29" s="791"/>
      <c r="AH29" s="791"/>
      <c r="AI29" s="791"/>
      <c r="AJ29" s="791"/>
      <c r="AK29" s="791"/>
    </row>
    <row r="30" spans="1:37" ht="14.25" thickTop="1">
      <c r="A30" s="703" t="s">
        <v>433</v>
      </c>
      <c r="B30" s="621"/>
      <c r="C30" s="700" t="s">
        <v>400</v>
      </c>
      <c r="E30" s="703" t="s">
        <v>434</v>
      </c>
      <c r="F30" s="621"/>
      <c r="G30" s="700" t="s">
        <v>111</v>
      </c>
      <c r="U30" s="791" t="s">
        <v>70</v>
      </c>
      <c r="V30" s="791">
        <f>IF(C33&gt;0,1,0)</f>
        <v>1</v>
      </c>
      <c r="W30" s="795">
        <f>$E$28/302.4*$V$30</f>
        <v>14.880952380952381</v>
      </c>
      <c r="X30" s="796">
        <f>$E$28/0.9*V30</f>
        <v>5000</v>
      </c>
      <c r="Y30" s="796">
        <f>$E$28*25.397*V30</f>
        <v>114286.5</v>
      </c>
      <c r="Z30" s="796">
        <f>IF($C$38&gt;0,Y30*0.04,0)</f>
        <v>0</v>
      </c>
      <c r="AA30" s="796">
        <f>IF($C$39&gt;0,$Y30*0.3,0)</f>
        <v>34285.95</v>
      </c>
      <c r="AB30" s="797">
        <f>$E$28*13.6513*$V$32*V30</f>
        <v>61430.850000000006</v>
      </c>
      <c r="AC30" s="796">
        <f>$E$49*183*V30*V32</f>
        <v>2745</v>
      </c>
      <c r="AD30" s="798">
        <f>(IF($C$34&gt;0,270*80*$K$51,IF($C$33&gt;0,180*60*$K$51,IF($C$31&gt;0,45*20*$K$51,90*30*$K$51))))*V30</f>
        <v>32400</v>
      </c>
      <c r="AE30" s="796">
        <f>AD30*0.02</f>
        <v>648</v>
      </c>
      <c r="AF30" s="791"/>
      <c r="AG30" s="791"/>
      <c r="AH30" s="791"/>
      <c r="AI30" s="791"/>
      <c r="AJ30" s="791"/>
      <c r="AK30" s="791"/>
    </row>
    <row r="31" spans="1:37" ht="13.5">
      <c r="A31" s="617"/>
      <c r="B31" s="170" t="s">
        <v>71</v>
      </c>
      <c r="C31" s="639"/>
      <c r="E31" s="698" t="s">
        <v>435</v>
      </c>
      <c r="F31" s="170"/>
      <c r="G31" s="720" t="s">
        <v>436</v>
      </c>
      <c r="U31" s="791" t="s">
        <v>386</v>
      </c>
      <c r="V31" s="791">
        <f>IF(C34&gt;0,1,0)</f>
        <v>0</v>
      </c>
      <c r="W31" s="796">
        <f>$E$28/450*$V$31</f>
        <v>0</v>
      </c>
      <c r="X31" s="796">
        <f>$E$28/0.9*V31</f>
        <v>0</v>
      </c>
      <c r="Y31" s="796">
        <f>$E$28*30*V31</f>
        <v>0</v>
      </c>
      <c r="Z31" s="796">
        <f>IF($C$38&gt;0,Y31*0.04,0)</f>
        <v>0</v>
      </c>
      <c r="AA31" s="796">
        <f>IF($C$39&gt;0,$Y31*0.4,0)</f>
        <v>0</v>
      </c>
      <c r="AB31" s="797">
        <f>$E$28*22.693*$V$32*V31</f>
        <v>0</v>
      </c>
      <c r="AC31" s="796">
        <f>$E$49*322*V31*V32</f>
        <v>0</v>
      </c>
      <c r="AD31" s="798">
        <f>(IF($C$34&gt;0,270*80*$K$51,IF($C$33&gt;0,180*60*$K$51,IF($C$31&gt;0,45*20*$K$51,90*30*$K$51))))*V31</f>
        <v>0</v>
      </c>
      <c r="AE31" s="796">
        <f>AD31*0.02</f>
        <v>0</v>
      </c>
      <c r="AF31" s="791"/>
      <c r="AG31" s="791"/>
      <c r="AH31" s="791"/>
      <c r="AI31" s="791"/>
      <c r="AJ31" s="791"/>
      <c r="AK31" s="716" t="s">
        <v>437</v>
      </c>
    </row>
    <row r="32" spans="1:37" ht="12.75">
      <c r="A32" s="617"/>
      <c r="B32" s="170" t="s">
        <v>73</v>
      </c>
      <c r="C32" s="639"/>
      <c r="E32" s="617"/>
      <c r="F32" s="170" t="s">
        <v>438</v>
      </c>
      <c r="G32" s="639">
        <v>600</v>
      </c>
      <c r="U32" s="794" t="s">
        <v>439</v>
      </c>
      <c r="V32" s="791">
        <f>IF(C44&gt;0,1,0)</f>
        <v>1</v>
      </c>
      <c r="W32" s="791"/>
      <c r="X32" s="791"/>
      <c r="Y32" s="791"/>
      <c r="Z32" s="799">
        <f>SUM(Z28:Z31)</f>
        <v>0</v>
      </c>
      <c r="AA32" s="799">
        <f>SUM(AA28:AA31)</f>
        <v>34285.95</v>
      </c>
      <c r="AB32" s="791"/>
      <c r="AC32" s="800">
        <f>SUM(AC28:AC31)</f>
        <v>2745</v>
      </c>
      <c r="AD32" s="791"/>
      <c r="AE32" s="800">
        <f aca="true" t="shared" si="0" ref="AE32:AJ32">SUM(AE28:AE31)</f>
        <v>648</v>
      </c>
      <c r="AF32" s="799">
        <f t="shared" si="0"/>
        <v>3000</v>
      </c>
      <c r="AG32" s="799">
        <f t="shared" si="0"/>
        <v>15000</v>
      </c>
      <c r="AH32" s="799">
        <f t="shared" si="0"/>
        <v>1200</v>
      </c>
      <c r="AI32" s="799">
        <f t="shared" si="0"/>
        <v>3000</v>
      </c>
      <c r="AJ32" s="799">
        <f t="shared" si="0"/>
        <v>0</v>
      </c>
      <c r="AK32" s="799">
        <f>SUM(Z32:AJ32)+G44</f>
        <v>71878.95</v>
      </c>
    </row>
    <row r="33" spans="1:37" ht="13.5">
      <c r="A33" s="617"/>
      <c r="B33" s="170" t="s">
        <v>70</v>
      </c>
      <c r="C33" s="639" t="s">
        <v>340</v>
      </c>
      <c r="E33" s="617"/>
      <c r="F33" s="170" t="s">
        <v>440</v>
      </c>
      <c r="G33" s="639">
        <v>300</v>
      </c>
      <c r="U33" s="791" t="s">
        <v>441</v>
      </c>
      <c r="V33" s="791">
        <f>IF(C43&gt;0,1,0)</f>
        <v>1</v>
      </c>
      <c r="W33" s="801"/>
      <c r="X33" s="791"/>
      <c r="Y33" s="802">
        <f>SUM(Y28:Y31)</f>
        <v>114286.5</v>
      </c>
      <c r="Z33" s="791"/>
      <c r="AA33" s="791"/>
      <c r="AB33" s="803">
        <f>SUM(AB28:AB31)</f>
        <v>61430.850000000006</v>
      </c>
      <c r="AC33" s="791"/>
      <c r="AD33" s="804">
        <f>SUM(AD28:AD31)</f>
        <v>32400</v>
      </c>
      <c r="AE33" s="791"/>
      <c r="AF33" s="791"/>
      <c r="AG33" s="791"/>
      <c r="AH33" s="791"/>
      <c r="AI33" s="791"/>
      <c r="AJ33" s="791"/>
      <c r="AK33" s="803">
        <f>SUM(Y33:AJ33)</f>
        <v>208117.35</v>
      </c>
    </row>
    <row r="34" spans="1:37" ht="14.25" thickBot="1">
      <c r="A34" s="618"/>
      <c r="B34" s="619" t="s">
        <v>386</v>
      </c>
      <c r="C34" s="640"/>
      <c r="E34" s="698" t="s">
        <v>442</v>
      </c>
      <c r="F34" s="170"/>
      <c r="G34" s="720" t="s">
        <v>443</v>
      </c>
      <c r="U34" s="791" t="s">
        <v>444</v>
      </c>
      <c r="V34" s="791"/>
      <c r="W34" s="881">
        <f>$E$60/$D$6/7/4</f>
        <v>13.69122857142857</v>
      </c>
      <c r="X34" s="791"/>
      <c r="Y34" s="791"/>
      <c r="Z34" s="791"/>
      <c r="AA34" s="791"/>
      <c r="AB34" s="791"/>
      <c r="AC34" s="791"/>
      <c r="AD34" s="791"/>
      <c r="AE34" s="791"/>
      <c r="AF34" s="791"/>
      <c r="AG34" s="791"/>
      <c r="AH34" s="791"/>
      <c r="AI34" s="791"/>
      <c r="AJ34" s="791"/>
      <c r="AK34" s="150" t="s">
        <v>445</v>
      </c>
    </row>
    <row r="35" spans="5:38" ht="13.5" thickTop="1">
      <c r="E35" s="698"/>
      <c r="F35" s="170" t="s">
        <v>71</v>
      </c>
      <c r="G35" s="639">
        <v>2</v>
      </c>
      <c r="U35" s="791"/>
      <c r="V35" s="791"/>
      <c r="W35" s="791"/>
      <c r="X35" s="791"/>
      <c r="Y35" s="791"/>
      <c r="Z35" s="791"/>
      <c r="AA35" s="791"/>
      <c r="AB35" s="791"/>
      <c r="AC35" s="791"/>
      <c r="AD35" s="791"/>
      <c r="AE35" s="791"/>
      <c r="AF35" s="791"/>
      <c r="AG35" s="791"/>
      <c r="AH35" s="791"/>
      <c r="AI35" s="791"/>
      <c r="AJ35" s="791"/>
      <c r="AK35" s="791"/>
      <c r="AL35" s="791"/>
    </row>
    <row r="36" spans="5:7" ht="13.5" thickBot="1">
      <c r="E36" s="617"/>
      <c r="F36" s="170" t="s">
        <v>70</v>
      </c>
      <c r="G36" s="639">
        <v>1</v>
      </c>
    </row>
    <row r="37" spans="1:7" ht="14.25" thickBot="1" thickTop="1">
      <c r="A37" s="703" t="s">
        <v>446</v>
      </c>
      <c r="B37" s="621"/>
      <c r="C37" s="700" t="s">
        <v>400</v>
      </c>
      <c r="E37" s="618"/>
      <c r="F37" s="619" t="s">
        <v>389</v>
      </c>
      <c r="G37" s="640"/>
    </row>
    <row r="38" spans="1:7" ht="14.25" thickBot="1" thickTop="1">
      <c r="A38" s="617"/>
      <c r="B38" s="170" t="s">
        <v>447</v>
      </c>
      <c r="C38" s="639"/>
      <c r="E38" s="703" t="s">
        <v>448</v>
      </c>
      <c r="F38" s="621"/>
      <c r="G38" s="700"/>
    </row>
    <row r="39" spans="1:7" ht="15" thickBot="1" thickTop="1">
      <c r="A39" s="618"/>
      <c r="B39" s="619" t="s">
        <v>417</v>
      </c>
      <c r="C39" s="640" t="s">
        <v>340</v>
      </c>
      <c r="E39" s="721" t="s">
        <v>449</v>
      </c>
      <c r="F39" s="805"/>
      <c r="G39" s="806"/>
    </row>
    <row r="40" spans="5:7" ht="14.25" thickTop="1">
      <c r="E40" s="807"/>
      <c r="F40" s="808" t="s">
        <v>450</v>
      </c>
      <c r="G40" s="809"/>
    </row>
    <row r="41" spans="5:7" ht="14.25" thickBot="1">
      <c r="E41" s="807"/>
      <c r="F41" s="810" t="s">
        <v>451</v>
      </c>
      <c r="G41" s="809"/>
    </row>
    <row r="42" spans="1:7" ht="14.25" thickTop="1">
      <c r="A42" s="703" t="s">
        <v>434</v>
      </c>
      <c r="B42" s="621"/>
      <c r="C42" s="700" t="s">
        <v>452</v>
      </c>
      <c r="E42" s="807"/>
      <c r="F42" s="811"/>
      <c r="G42" s="809"/>
    </row>
    <row r="43" spans="1:7" ht="12.75">
      <c r="A43" s="617"/>
      <c r="B43" s="170" t="s">
        <v>441</v>
      </c>
      <c r="C43" s="639" t="s">
        <v>340</v>
      </c>
      <c r="E43" s="698"/>
      <c r="F43" s="170" t="s">
        <v>453</v>
      </c>
      <c r="G43" s="639">
        <v>5400</v>
      </c>
    </row>
    <row r="44" spans="1:7" ht="13.5" thickBot="1">
      <c r="A44" s="618"/>
      <c r="B44" s="619" t="s">
        <v>439</v>
      </c>
      <c r="C44" s="640" t="s">
        <v>340</v>
      </c>
      <c r="E44" s="618"/>
      <c r="F44" s="619" t="s">
        <v>454</v>
      </c>
      <c r="G44" s="640">
        <v>12000</v>
      </c>
    </row>
    <row r="45" spans="5:6" ht="13.5" thickTop="1">
      <c r="E45" s="95"/>
      <c r="F45" s="170"/>
    </row>
    <row r="47" ht="18">
      <c r="A47" s="718" t="s">
        <v>455</v>
      </c>
    </row>
    <row r="48" ht="13.5" thickBot="1"/>
    <row r="49" spans="1:13" ht="13.5" thickTop="1">
      <c r="A49" s="728"/>
      <c r="B49" s="606"/>
      <c r="C49" s="606"/>
      <c r="D49" s="729" t="s">
        <v>456</v>
      </c>
      <c r="E49" s="761">
        <f>ROUND(SUM($W$28:$W$31),0)</f>
        <v>15</v>
      </c>
      <c r="F49" s="762"/>
      <c r="G49" s="736"/>
      <c r="H49" s="737"/>
      <c r="I49" s="737"/>
      <c r="J49" s="738" t="s">
        <v>457</v>
      </c>
      <c r="K49" s="763">
        <f>ROUND(SUM($W$28:$W$31),0)*V32</f>
        <v>15</v>
      </c>
      <c r="L49" s="764"/>
      <c r="M49" s="742"/>
    </row>
    <row r="50" spans="1:13" ht="13.5" thickBot="1">
      <c r="A50" s="730"/>
      <c r="B50" s="731"/>
      <c r="C50" s="731"/>
      <c r="D50" s="732" t="s">
        <v>458</v>
      </c>
      <c r="E50" s="722" t="str">
        <f>IF($C$34&gt;0,"180' x 30' x 6'",IF($C$33&gt;0,"120' x 24' x 6'",IF($C$31&gt;0,"30' x 12' x 6'","60' x 18' x 6'")))</f>
        <v>120' x 24' x 6'</v>
      </c>
      <c r="F50" s="723"/>
      <c r="G50" s="739"/>
      <c r="H50" s="740"/>
      <c r="I50" s="740"/>
      <c r="J50" s="741" t="s">
        <v>459</v>
      </c>
      <c r="K50" s="743" t="str">
        <f>IF(V32=0,"No Warehouses",IF($C$34&gt;0,"128' x 64', two floors high",IF($C$33&gt;0,"76' x 38', two floors high",IF($C$31&gt;0,"38' x 19', single floor","44' x 22', single floor"))))</f>
        <v>76' x 38', two floors high</v>
      </c>
      <c r="L50" s="744"/>
      <c r="M50" s="745"/>
    </row>
    <row r="51" spans="1:13" ht="14.25" thickBot="1" thickTop="1">
      <c r="A51" s="730"/>
      <c r="B51" s="731"/>
      <c r="C51" s="731"/>
      <c r="D51" s="732" t="s">
        <v>460</v>
      </c>
      <c r="E51" s="722" t="str">
        <f>IF($C$34&gt;0,"108'",IF($C$33&gt;0,"72'","36'"))</f>
        <v>72'</v>
      </c>
      <c r="F51" s="723"/>
      <c r="G51" s="746"/>
      <c r="H51" s="616"/>
      <c r="I51" s="616"/>
      <c r="J51" s="750" t="s">
        <v>461</v>
      </c>
      <c r="K51" s="755">
        <f>ROUND(IF(E49=0,0,E49/6*V33),0)</f>
        <v>3</v>
      </c>
      <c r="L51" s="760" t="s">
        <v>462</v>
      </c>
      <c r="M51" s="754"/>
    </row>
    <row r="52" spans="1:13" ht="13.5" thickTop="1">
      <c r="A52" s="730"/>
      <c r="B52" s="731"/>
      <c r="C52" s="731"/>
      <c r="D52" s="732" t="s">
        <v>463</v>
      </c>
      <c r="E52" s="724">
        <f>SUM(X28:X31)</f>
        <v>5000</v>
      </c>
      <c r="F52" s="725" t="s">
        <v>464</v>
      </c>
      <c r="G52" s="748"/>
      <c r="H52" s="749"/>
      <c r="I52" s="749"/>
      <c r="J52" s="747" t="s">
        <v>465</v>
      </c>
      <c r="K52" s="789">
        <f>IF($C$34&gt;0,270*K51,IF($C$33&gt;0,180*K51,IF($C$31&gt;0,45*K51,90*K51)))</f>
        <v>540</v>
      </c>
      <c r="L52" s="788" t="s">
        <v>466</v>
      </c>
      <c r="M52" s="756"/>
    </row>
    <row r="53" spans="1:13" ht="13.5" thickBot="1">
      <c r="A53" s="733"/>
      <c r="B53" s="734"/>
      <c r="C53" s="734"/>
      <c r="D53" s="735" t="s">
        <v>467</v>
      </c>
      <c r="E53" s="726">
        <f>E52/5280</f>
        <v>0.946969696969697</v>
      </c>
      <c r="F53" s="727" t="s">
        <v>468</v>
      </c>
      <c r="G53" s="751"/>
      <c r="H53" s="752"/>
      <c r="I53" s="752"/>
      <c r="J53" s="753" t="s">
        <v>469</v>
      </c>
      <c r="K53" s="757" t="str">
        <f>IF(V33*K51=0,"No Dry Docks",IF($C$34&gt;0,"270' x 80'",IF($C$33&gt;0,"180' x 60'",IF($C$31&gt;0,"45' x 20'","90' x 30'"))))</f>
        <v>180' x 60'</v>
      </c>
      <c r="L53" s="758"/>
      <c r="M53" s="759"/>
    </row>
    <row r="54" ht="13.5" thickTop="1"/>
    <row r="55" spans="4:7" ht="13.5">
      <c r="D55" s="3" t="s">
        <v>470</v>
      </c>
      <c r="E55" s="719">
        <f>AK33+G43</f>
        <v>213517.35</v>
      </c>
      <c r="F55" s="717" t="s">
        <v>471</v>
      </c>
      <c r="G55" s="787" t="s">
        <v>472</v>
      </c>
    </row>
    <row r="56" ht="13.5" thickBot="1"/>
    <row r="57" spans="2:9" ht="13.5" customHeight="1" thickTop="1">
      <c r="B57" s="783"/>
      <c r="C57" s="784" t="s">
        <v>473</v>
      </c>
      <c r="D57" s="826" t="str">
        <f>IF($C$34&gt;0,"Ships with a draft of less than 23ft",IF($C$33&gt;0,"Ships with a draft of less than 19ft",IF($C$31&gt;0,"Ships with a draft of less than 8ft","Ships with a draft of less than 15ft")))</f>
        <v>Ships with a draft of less than 19ft</v>
      </c>
      <c r="E57" s="779"/>
      <c r="F57" s="779"/>
      <c r="G57" s="779"/>
      <c r="H57" s="779"/>
      <c r="I57" s="780"/>
    </row>
    <row r="58" spans="2:9" ht="13.5" thickBot="1">
      <c r="B58" s="785"/>
      <c r="C58" s="786"/>
      <c r="D58" s="827" t="str">
        <f>IF($C$34&gt;0,"including sail ships up to 220 HP or any galley",IF($C$33&gt;0,"including sail ships up to 180 HP or any galley",IF($C$31&gt;0,"including sail ships of up to 70 HP or galleys up to 105 HP","including sail ships of  up to 140 HP, or any galley")))</f>
        <v>including sail ships up to 180 HP or any galley</v>
      </c>
      <c r="E58" s="781"/>
      <c r="F58" s="781"/>
      <c r="G58" s="781"/>
      <c r="H58" s="781"/>
      <c r="I58" s="782"/>
    </row>
    <row r="59" ht="14.25" thickBot="1" thickTop="1"/>
    <row r="60" spans="2:11" ht="14.25" thickTop="1">
      <c r="B60" s="746"/>
      <c r="C60" s="616"/>
      <c r="D60" s="747" t="s">
        <v>474</v>
      </c>
      <c r="E60" s="765">
        <f>AK32+(AK32*$W$25/100)</f>
        <v>115006.32</v>
      </c>
      <c r="F60" s="766" t="s">
        <v>55</v>
      </c>
      <c r="H60" s="815" t="s">
        <v>475</v>
      </c>
      <c r="I60" s="816"/>
      <c r="J60" s="817"/>
      <c r="K60" s="818"/>
    </row>
    <row r="61" spans="2:11" ht="12.75">
      <c r="B61" s="748"/>
      <c r="C61" s="749"/>
      <c r="D61" s="750" t="s">
        <v>444</v>
      </c>
      <c r="E61" s="767">
        <f>ROUND(IF(W34&lt;1,1,W34),0)</f>
        <v>14</v>
      </c>
      <c r="F61" s="768" t="str">
        <f>IF(E61&lt;2,"month","months")</f>
        <v>months</v>
      </c>
      <c r="H61" s="813"/>
      <c r="I61" s="95"/>
      <c r="J61" s="170" t="s">
        <v>476</v>
      </c>
      <c r="K61" s="814">
        <f>ROUND(E28/40,0)</f>
        <v>113</v>
      </c>
    </row>
    <row r="62" spans="2:11" ht="13.5" thickBot="1">
      <c r="B62" s="751"/>
      <c r="C62" s="752"/>
      <c r="D62" s="753" t="s">
        <v>477</v>
      </c>
      <c r="E62" s="812">
        <f>E61/12</f>
        <v>1.1666666666666667</v>
      </c>
      <c r="F62" s="769" t="str">
        <f>IF(E62&lt;2,"year","years")</f>
        <v>year</v>
      </c>
      <c r="H62" s="813"/>
      <c r="I62" s="95"/>
      <c r="J62" s="170" t="s">
        <v>478</v>
      </c>
      <c r="K62" s="814">
        <f>ROUND(K52/180*100,0)</f>
        <v>300</v>
      </c>
    </row>
    <row r="63" spans="2:11" ht="13.5" thickTop="1">
      <c r="B63" s="770"/>
      <c r="C63" s="611"/>
      <c r="D63" s="771" t="s">
        <v>374</v>
      </c>
      <c r="E63" s="775">
        <f>E60/E61</f>
        <v>8214.737142857144</v>
      </c>
      <c r="F63" s="776" t="s">
        <v>82</v>
      </c>
      <c r="H63" s="813"/>
      <c r="I63" s="95"/>
      <c r="J63" s="170" t="s">
        <v>479</v>
      </c>
      <c r="K63" s="814">
        <f>ROUND(E28/30,0)</f>
        <v>150</v>
      </c>
    </row>
    <row r="64" spans="2:11" ht="13.5" thickBot="1">
      <c r="B64" s="772"/>
      <c r="C64" s="773"/>
      <c r="D64" s="774" t="s">
        <v>375</v>
      </c>
      <c r="E64" s="777">
        <f>IF(C38&gt;0,E60/10/12,E60/100/12)</f>
        <v>95.8386</v>
      </c>
      <c r="F64" s="778" t="s">
        <v>82</v>
      </c>
      <c r="H64" s="813"/>
      <c r="I64" s="95"/>
      <c r="J64" s="170" t="s">
        <v>480</v>
      </c>
      <c r="K64" s="814">
        <f>ROUND(E64/10,0)</f>
        <v>10</v>
      </c>
    </row>
    <row r="65" spans="8:11" ht="13.5" thickTop="1">
      <c r="H65" s="813"/>
      <c r="I65" s="95"/>
      <c r="J65" s="302" t="s">
        <v>481</v>
      </c>
      <c r="K65" s="819">
        <f>SUM(K61:K64)</f>
        <v>573</v>
      </c>
    </row>
    <row r="66" spans="8:11" ht="13.5" thickBot="1">
      <c r="H66" s="820" t="s">
        <v>482</v>
      </c>
      <c r="I66" s="821"/>
      <c r="J66" s="821"/>
      <c r="K66" s="822"/>
    </row>
    <row r="67" ht="13.5" thickTop="1"/>
  </sheetData>
  <sheetProtection sheet="1" objects="1" scenarios="1"/>
  <printOptions/>
  <pageMargins left="0.75" right="0.75" top="1" bottom="1" header="0.5" footer="0.5"/>
  <pageSetup horizontalDpi="300" verticalDpi="300" orientation="portrait" r:id="rId2"/>
  <headerFooter alignWithMargins="0">
    <oddHeader>&amp;C&amp;A</oddHeader>
    <oddFooter>&amp;CPage &amp;P</oddFooter>
  </headerFooter>
  <legacyDrawing r:id="rId1"/>
</worksheet>
</file>

<file path=xl/worksheets/sheet6.xml><?xml version="1.0" encoding="utf-8"?>
<worksheet xmlns="http://schemas.openxmlformats.org/spreadsheetml/2006/main" xmlns:r="http://schemas.openxmlformats.org/officeDocument/2006/relationships">
  <dimension ref="A1:AN63"/>
  <sheetViews>
    <sheetView tabSelected="1" zoomScalePageLayoutView="0" workbookViewId="0" topLeftCell="A1">
      <selection activeCell="D8" sqref="D8"/>
    </sheetView>
  </sheetViews>
  <sheetFormatPr defaultColWidth="9.140625" defaultRowHeight="12.75"/>
  <sheetData>
    <row r="1" spans="2:10" ht="23.25">
      <c r="B1" s="8"/>
      <c r="C1" s="8"/>
      <c r="D1" s="624" t="s">
        <v>483</v>
      </c>
      <c r="E1" s="8"/>
      <c r="F1" s="8"/>
      <c r="G1" s="8"/>
      <c r="H1" s="8"/>
      <c r="I1" s="643"/>
      <c r="J1" s="88"/>
    </row>
    <row r="2" spans="1:10" ht="16.5">
      <c r="A2" s="683"/>
      <c r="D2" s="828" t="s">
        <v>484</v>
      </c>
      <c r="I2" s="88"/>
      <c r="J2" s="88"/>
    </row>
    <row r="3" spans="1:10" ht="16.5">
      <c r="A3" s="683"/>
      <c r="I3" s="88"/>
      <c r="J3" s="88"/>
    </row>
    <row r="4" spans="1:23" ht="16.5">
      <c r="A4" s="683"/>
      <c r="C4" s="552" t="s">
        <v>485</v>
      </c>
      <c r="D4" s="8"/>
      <c r="E4" s="8"/>
      <c r="I4" s="88"/>
      <c r="J4" s="88"/>
      <c r="W4" s="88">
        <f>IF(D8&gt;0,IF($D$8=0,0,IF($D$8&lt;11,-20,IF($D$8&lt;21,-15,IF($D$8&lt;51,-10,IF($D$8&lt;101,-5,IF($D$8&lt;501,0,IF($D$8&lt;1001,10,30))))))),0)</f>
        <v>-10</v>
      </c>
    </row>
    <row r="5" spans="1:23" ht="19.5">
      <c r="A5" s="683"/>
      <c r="C5" s="829" t="s">
        <v>486</v>
      </c>
      <c r="D5" s="830"/>
      <c r="E5" s="831"/>
      <c r="I5" s="88"/>
      <c r="J5" s="88"/>
      <c r="L5" s="88"/>
      <c r="M5" s="88"/>
      <c r="W5" s="88"/>
    </row>
    <row r="6" spans="9:23" ht="12.75">
      <c r="I6" s="88"/>
      <c r="J6" s="88"/>
      <c r="L6" s="88"/>
      <c r="M6" s="88"/>
      <c r="W6" s="88"/>
    </row>
    <row r="7" spans="3:23" ht="12.75">
      <c r="C7" s="552" t="s">
        <v>487</v>
      </c>
      <c r="D7" s="8"/>
      <c r="E7" s="8"/>
      <c r="I7" s="88"/>
      <c r="J7" s="88"/>
      <c r="L7" s="88"/>
      <c r="M7" s="88"/>
      <c r="W7" s="88">
        <f>IF(D8&gt;0,IF($D$8=0,0,IF($D$8&lt;11,-10,IF($D$8&lt;21,-5,IF($D$8&lt;51,0,IF($D$8&lt;101,5,IF($D$8&lt;501,10,IF($D$8&lt;1001,15,20))))))),0)</f>
        <v>0</v>
      </c>
    </row>
    <row r="8" spans="4:10" ht="12.75">
      <c r="D8" s="634">
        <v>30</v>
      </c>
      <c r="I8" s="88"/>
      <c r="J8" s="88"/>
    </row>
    <row r="9" spans="9:26" ht="12.75">
      <c r="I9" s="88"/>
      <c r="J9" s="824"/>
      <c r="V9" s="88" t="s">
        <v>488</v>
      </c>
      <c r="W9" s="88" t="s">
        <v>489</v>
      </c>
      <c r="X9" s="88" t="s">
        <v>490</v>
      </c>
      <c r="Y9" s="88" t="s">
        <v>491</v>
      </c>
      <c r="Z9" s="88" t="s">
        <v>492</v>
      </c>
    </row>
    <row r="10" spans="2:26" ht="13.5" thickBot="1">
      <c r="B10" s="363"/>
      <c r="C10" s="363"/>
      <c r="D10" s="622" t="s">
        <v>336</v>
      </c>
      <c r="E10" s="363"/>
      <c r="F10" s="363"/>
      <c r="G10" s="8"/>
      <c r="H10" s="8"/>
      <c r="I10" s="88"/>
      <c r="J10" s="823"/>
      <c r="V10" s="88">
        <f>IF(C12&gt;0,15,0)</f>
        <v>0</v>
      </c>
      <c r="W10" s="88">
        <f>IF(E24&gt;0,-15,0)</f>
        <v>0</v>
      </c>
      <c r="X10" s="88">
        <f>IF(C18&gt;0,0.8,0)</f>
        <v>0</v>
      </c>
      <c r="Y10" s="88">
        <f>IF(G12&gt;0,40,0)</f>
        <v>0</v>
      </c>
      <c r="Z10" s="88">
        <v>0</v>
      </c>
    </row>
    <row r="11" spans="1:26" ht="13.5" thickTop="1">
      <c r="A11" s="705" t="s">
        <v>398</v>
      </c>
      <c r="B11" s="606"/>
      <c r="C11" s="607"/>
      <c r="E11" s="704" t="s">
        <v>346</v>
      </c>
      <c r="F11" s="616"/>
      <c r="G11" s="701" t="s">
        <v>400</v>
      </c>
      <c r="I11" s="88"/>
      <c r="J11" s="823"/>
      <c r="V11" s="88">
        <v>0</v>
      </c>
      <c r="W11" s="88">
        <f>IF(E25&gt;0,0,0)</f>
        <v>0</v>
      </c>
      <c r="X11" s="88">
        <f>IF(C19&gt;0,1,0)</f>
        <v>1</v>
      </c>
      <c r="Y11" s="88">
        <v>0</v>
      </c>
      <c r="Z11" s="88">
        <f>IF(G19&gt;0,20,0)</f>
        <v>0</v>
      </c>
    </row>
    <row r="12" spans="1:26" ht="12.75">
      <c r="A12" s="602"/>
      <c r="B12" s="170" t="s">
        <v>146</v>
      </c>
      <c r="C12" s="635"/>
      <c r="E12" s="613"/>
      <c r="F12" s="170" t="s">
        <v>347</v>
      </c>
      <c r="G12" s="637"/>
      <c r="I12" s="88"/>
      <c r="J12" s="88"/>
      <c r="V12" s="88">
        <f>IF(C14&gt;0,-5,0)</f>
        <v>0</v>
      </c>
      <c r="W12" s="88">
        <f>IF(E26&gt;0,15,0)</f>
        <v>15</v>
      </c>
      <c r="X12" s="88">
        <f>IF(C20&gt;0,1.1,0)</f>
        <v>0</v>
      </c>
      <c r="Y12" s="88">
        <f>IF(G14&gt;0,-5,0)</f>
        <v>0</v>
      </c>
      <c r="Z12" s="88">
        <f>IF(G20&gt;0,40,0)</f>
        <v>0</v>
      </c>
    </row>
    <row r="13" spans="1:26" ht="12.75">
      <c r="A13" s="602"/>
      <c r="B13" s="170" t="s">
        <v>73</v>
      </c>
      <c r="C13" s="635" t="s">
        <v>340</v>
      </c>
      <c r="E13" s="613"/>
      <c r="F13" s="170" t="s">
        <v>348</v>
      </c>
      <c r="G13" s="637" t="s">
        <v>340</v>
      </c>
      <c r="I13" s="88"/>
      <c r="J13" s="88"/>
      <c r="V13" s="88">
        <f>IF(C15&gt;0,-10,0)</f>
        <v>0</v>
      </c>
      <c r="W13" s="88">
        <f>IF(E27&gt;0,30,0)</f>
        <v>0</v>
      </c>
      <c r="X13" s="88">
        <f>IF(C21&gt;0,1.2,0)</f>
        <v>0</v>
      </c>
      <c r="Y13" s="88">
        <f>IF(G15&gt;0,-10,0)</f>
        <v>0</v>
      </c>
      <c r="Z13" s="88">
        <f>IF(G21&gt;0,60,0)</f>
        <v>0</v>
      </c>
    </row>
    <row r="14" spans="1:24" ht="12.75">
      <c r="A14" s="602"/>
      <c r="B14" s="170" t="s">
        <v>147</v>
      </c>
      <c r="C14" s="635"/>
      <c r="E14" s="613"/>
      <c r="F14" s="170" t="s">
        <v>349</v>
      </c>
      <c r="G14" s="637"/>
      <c r="I14" s="88"/>
      <c r="J14" s="88"/>
      <c r="V14" s="716">
        <f>SUM(V10:V13)</f>
        <v>0</v>
      </c>
      <c r="W14" s="716">
        <f>SUM(W10:W13)</f>
        <v>15</v>
      </c>
      <c r="X14" s="716">
        <f>IF(SUM(X10:X13)=0,1,SUM(X10:X13))</f>
        <v>1</v>
      </c>
    </row>
    <row r="15" spans="1:24" ht="13.5" thickBot="1">
      <c r="A15" s="603"/>
      <c r="B15" s="604" t="s">
        <v>343</v>
      </c>
      <c r="C15" s="636"/>
      <c r="E15" s="614"/>
      <c r="F15" s="182" t="s">
        <v>350</v>
      </c>
      <c r="G15" s="638"/>
      <c r="I15" s="88"/>
      <c r="J15" s="88"/>
      <c r="W15" s="877" t="s">
        <v>493</v>
      </c>
      <c r="X15" s="88">
        <f>(100+SUM(W7,V10:V13,W10:W13,Y10:Y13,Z10:Z13))/100</f>
        <v>1.15</v>
      </c>
    </row>
    <row r="16" spans="3:24" ht="14.25" thickBot="1" thickTop="1">
      <c r="C16" s="647"/>
      <c r="G16" s="647"/>
      <c r="I16" s="88"/>
      <c r="J16" s="88"/>
      <c r="V16" s="716">
        <f>(100+V14+(W14*-1))/100</f>
        <v>0.85</v>
      </c>
      <c r="X16" s="90"/>
    </row>
    <row r="17" spans="1:10" ht="13.5" thickTop="1">
      <c r="A17" s="713" t="s">
        <v>494</v>
      </c>
      <c r="B17" s="714"/>
      <c r="C17" s="715" t="s">
        <v>400</v>
      </c>
      <c r="D17" s="601"/>
      <c r="E17" s="707" t="s">
        <v>406</v>
      </c>
      <c r="F17" s="611"/>
      <c r="G17" s="699" t="s">
        <v>400</v>
      </c>
      <c r="I17" s="88"/>
      <c r="J17" s="88"/>
    </row>
    <row r="18" spans="1:39" ht="12.75">
      <c r="A18" s="708"/>
      <c r="B18" s="170" t="s">
        <v>236</v>
      </c>
      <c r="C18" s="709"/>
      <c r="E18" s="608"/>
      <c r="F18" s="170" t="s">
        <v>236</v>
      </c>
      <c r="G18" s="641" t="s">
        <v>340</v>
      </c>
      <c r="I18" s="88"/>
      <c r="J18" s="88"/>
      <c r="V18" s="793" t="s">
        <v>495</v>
      </c>
      <c r="W18" s="793" t="s">
        <v>496</v>
      </c>
      <c r="X18" s="793" t="s">
        <v>497</v>
      </c>
      <c r="Y18" s="793" t="s">
        <v>498</v>
      </c>
      <c r="Z18" s="793" t="s">
        <v>499</v>
      </c>
      <c r="AA18" s="883" t="s">
        <v>466</v>
      </c>
      <c r="AB18" s="793" t="s">
        <v>248</v>
      </c>
      <c r="AC18" s="791">
        <f>IF(SUM(V19:V21)=0,1,SUM(V19:V21))</f>
        <v>1</v>
      </c>
      <c r="AD18" s="883" t="s">
        <v>500</v>
      </c>
      <c r="AE18" s="883" t="s">
        <v>501</v>
      </c>
      <c r="AF18" s="791"/>
      <c r="AG18" s="791"/>
      <c r="AH18" s="791"/>
      <c r="AI18" s="791"/>
      <c r="AJ18" s="791"/>
      <c r="AK18" s="791"/>
      <c r="AL18" s="791"/>
      <c r="AM18" s="791"/>
    </row>
    <row r="19" spans="1:39" ht="12.75">
      <c r="A19" s="708"/>
      <c r="B19" s="170" t="s">
        <v>146</v>
      </c>
      <c r="C19" s="709" t="s">
        <v>340</v>
      </c>
      <c r="E19" s="608"/>
      <c r="F19" s="170" t="s">
        <v>409</v>
      </c>
      <c r="G19" s="641"/>
      <c r="I19" s="88"/>
      <c r="J19" s="88"/>
      <c r="V19" s="791">
        <f>IF(C33&gt;0,1,0)</f>
        <v>1</v>
      </c>
      <c r="W19" s="791">
        <f>IF($C38&gt;0,1,0)</f>
        <v>1</v>
      </c>
      <c r="X19" s="791">
        <f>IF(C38&gt;0,90,0)</f>
        <v>90</v>
      </c>
      <c r="Y19" s="795">
        <f>(145*$X$23/100-(IF($AB26&gt;99,$AB26/5-20,$AB26/2-50)))*V19*X14</f>
        <v>135.7</v>
      </c>
      <c r="Z19" s="795">
        <f>(90*$X$23/100-(IF($AB26&gt;99,$AB26/5-20,$AB26/2-50)))*V19*X14</f>
        <v>86.19999999999999</v>
      </c>
      <c r="AA19" s="791">
        <f>IF($C38&gt;0,0.8,0)</f>
        <v>0.8</v>
      </c>
      <c r="AB19" s="791">
        <f>AB26-((45-(AB26/2))*4)</f>
        <v>88.80000000000003</v>
      </c>
      <c r="AC19" s="791"/>
      <c r="AD19" s="791">
        <f>IF(W26&gt;110,IF(SUM($W$21:$W$22)&gt;0,30000,15000),5000)</f>
        <v>15000</v>
      </c>
      <c r="AE19" s="791">
        <f>IF($C38&gt;0,0.8,0)</f>
        <v>0.8</v>
      </c>
      <c r="AF19" s="791"/>
      <c r="AG19" s="791"/>
      <c r="AH19" s="791"/>
      <c r="AI19" s="791"/>
      <c r="AJ19" s="791"/>
      <c r="AK19" s="791"/>
      <c r="AL19" s="791"/>
      <c r="AM19" s="791"/>
    </row>
    <row r="20" spans="1:39" ht="12.75">
      <c r="A20" s="708"/>
      <c r="B20" s="170" t="s">
        <v>147</v>
      </c>
      <c r="C20" s="709"/>
      <c r="E20" s="608"/>
      <c r="F20" s="170" t="s">
        <v>411</v>
      </c>
      <c r="G20" s="641"/>
      <c r="I20" s="88"/>
      <c r="J20" s="88"/>
      <c r="V20" s="791">
        <f>IF(C34&gt;0,1,0)</f>
        <v>0</v>
      </c>
      <c r="W20" s="791">
        <f>IF($C39&gt;0,1.5,0)</f>
        <v>0</v>
      </c>
      <c r="X20" s="791">
        <f>IF(C39&gt;0,70,0)</f>
        <v>0</v>
      </c>
      <c r="Y20" s="795">
        <f>(150-(IF($AB27&gt;99,$AB27/5-20,$AB27/2-50)))*V20*X14</f>
        <v>0</v>
      </c>
      <c r="Z20" s="795">
        <f>(85-(IF($AB27&gt;99,$AB27/5-20,$AB27/2-50)))*V20*X14</f>
        <v>0</v>
      </c>
      <c r="AA20" s="791">
        <f>IF($C39&gt;0,1,0)</f>
        <v>0</v>
      </c>
      <c r="AB20" s="791">
        <f>W27*V20</f>
        <v>0</v>
      </c>
      <c r="AC20" s="791"/>
      <c r="AD20" s="791">
        <v>12000</v>
      </c>
      <c r="AE20" s="791">
        <f>IF($C39&gt;0,1,0)</f>
        <v>0</v>
      </c>
      <c r="AF20" s="791"/>
      <c r="AG20" s="791"/>
      <c r="AH20" s="791"/>
      <c r="AI20" s="791"/>
      <c r="AJ20" s="791"/>
      <c r="AK20" s="791"/>
      <c r="AL20" s="791"/>
      <c r="AM20" s="791"/>
    </row>
    <row r="21" spans="1:39" ht="13.5" thickBot="1">
      <c r="A21" s="710"/>
      <c r="B21" s="711" t="s">
        <v>151</v>
      </c>
      <c r="C21" s="712"/>
      <c r="E21" s="194"/>
      <c r="F21" s="609" t="s">
        <v>414</v>
      </c>
      <c r="G21" s="642"/>
      <c r="I21" s="88"/>
      <c r="J21" s="88"/>
      <c r="V21" s="791">
        <f>IF(C35&gt;0,1,0)</f>
        <v>0</v>
      </c>
      <c r="W21" s="791">
        <f>IF(C40&gt;0,0.5,0)</f>
        <v>0</v>
      </c>
      <c r="X21" s="791">
        <f>IF(C40&gt;0,100,0)</f>
        <v>0</v>
      </c>
      <c r="Y21" s="795">
        <f>(145*$X$23/100-(IF($AB28&gt;99,$AB28/5-20,$AB28/2-50)))*V21*X14</f>
        <v>0</v>
      </c>
      <c r="Z21" s="795">
        <v>0</v>
      </c>
      <c r="AA21" s="791">
        <f>IF(C40&gt;0,1.1,0)</f>
        <v>0</v>
      </c>
      <c r="AB21" s="791"/>
      <c r="AC21" s="791"/>
      <c r="AD21" s="791">
        <f>IF(W28&gt;90,IF(SUM($W$21:$W$22)&gt;0,15000,10000),3000)</f>
        <v>3000</v>
      </c>
      <c r="AE21" s="791">
        <f>IF($C40&gt;0,1.2,0)</f>
        <v>0</v>
      </c>
      <c r="AF21" s="791"/>
      <c r="AG21" s="791"/>
      <c r="AH21" s="791"/>
      <c r="AI21" s="791"/>
      <c r="AJ21" s="791"/>
      <c r="AK21" s="791"/>
      <c r="AL21" s="791"/>
      <c r="AM21" s="791"/>
    </row>
    <row r="22" spans="3:39" ht="14.25" thickBot="1" thickTop="1">
      <c r="C22" s="647"/>
      <c r="G22" s="647"/>
      <c r="I22" s="88"/>
      <c r="J22" s="88"/>
      <c r="V22" s="716">
        <f>AC18</f>
        <v>1</v>
      </c>
      <c r="W22" s="791">
        <f>IF(C41&gt;0,0.75,0)</f>
        <v>0</v>
      </c>
      <c r="X22" s="791">
        <f>IF(C41&gt;0,80,0)</f>
        <v>0</v>
      </c>
      <c r="Y22" s="791"/>
      <c r="Z22" s="791"/>
      <c r="AA22" s="791">
        <f>IF(C41&gt;0,1.3,0)</f>
        <v>0</v>
      </c>
      <c r="AB22" s="791"/>
      <c r="AC22" s="791"/>
      <c r="AD22" s="716"/>
      <c r="AE22" s="791">
        <f>IF($C41&gt;0,1.5,0)</f>
        <v>0</v>
      </c>
      <c r="AF22" s="791"/>
      <c r="AG22" s="791"/>
      <c r="AH22" s="791"/>
      <c r="AI22" s="791"/>
      <c r="AJ22" s="791"/>
      <c r="AK22" s="791"/>
      <c r="AL22" s="791"/>
      <c r="AM22" s="791"/>
    </row>
    <row r="23" spans="3:39" ht="13.5" thickTop="1">
      <c r="C23" s="706" t="s">
        <v>502</v>
      </c>
      <c r="D23" s="697"/>
      <c r="E23" s="702" t="s">
        <v>400</v>
      </c>
      <c r="V23" s="791"/>
      <c r="W23" s="716">
        <f>SUM(W19:W22)</f>
        <v>1</v>
      </c>
      <c r="X23" s="716">
        <f>SUM(X19:X22)</f>
        <v>90</v>
      </c>
      <c r="Y23" s="791"/>
      <c r="Z23" s="791"/>
      <c r="AA23" s="716">
        <f>SUM(AA19:AA22)</f>
        <v>0.8</v>
      </c>
      <c r="AB23" s="791"/>
      <c r="AC23" s="791"/>
      <c r="AD23" s="791"/>
      <c r="AE23" s="716">
        <f>SUM(AE19:AE22)</f>
        <v>0.8</v>
      </c>
      <c r="AF23" s="791"/>
      <c r="AG23" s="791"/>
      <c r="AH23" s="791"/>
      <c r="AI23" s="791"/>
      <c r="AJ23" s="791"/>
      <c r="AK23" s="791"/>
      <c r="AL23" s="791"/>
      <c r="AM23" s="791"/>
    </row>
    <row r="24" spans="3:39" ht="12.75">
      <c r="C24" s="692"/>
      <c r="D24" s="170" t="s">
        <v>503</v>
      </c>
      <c r="E24" s="693"/>
      <c r="V24" s="791"/>
      <c r="W24" s="791"/>
      <c r="X24" s="791"/>
      <c r="Y24" s="791"/>
      <c r="Z24" s="791"/>
      <c r="AA24" s="791"/>
      <c r="AB24" s="791"/>
      <c r="AC24" s="791"/>
      <c r="AD24" s="791"/>
      <c r="AE24" s="791"/>
      <c r="AF24" s="791"/>
      <c r="AG24" s="791"/>
      <c r="AH24" s="791"/>
      <c r="AI24" s="791"/>
      <c r="AJ24" s="791"/>
      <c r="AK24" s="791"/>
      <c r="AL24" s="791"/>
      <c r="AM24" s="791"/>
    </row>
    <row r="25" spans="3:40" ht="12.75">
      <c r="C25" s="692"/>
      <c r="D25" s="170" t="s">
        <v>73</v>
      </c>
      <c r="E25" s="693"/>
      <c r="V25" s="791"/>
      <c r="W25" s="793" t="s">
        <v>504</v>
      </c>
      <c r="X25" s="793" t="s">
        <v>505</v>
      </c>
      <c r="Y25" s="793" t="s">
        <v>506</v>
      </c>
      <c r="Z25" s="793" t="s">
        <v>507</v>
      </c>
      <c r="AA25" s="793" t="s">
        <v>508</v>
      </c>
      <c r="AB25" s="793" t="s">
        <v>466</v>
      </c>
      <c r="AC25" s="793" t="s">
        <v>498</v>
      </c>
      <c r="AD25" s="793" t="s">
        <v>499</v>
      </c>
      <c r="AE25" s="793" t="s">
        <v>509</v>
      </c>
      <c r="AF25" s="793" t="s">
        <v>510</v>
      </c>
      <c r="AG25" s="793" t="s">
        <v>248</v>
      </c>
      <c r="AH25" s="793" t="s">
        <v>246</v>
      </c>
      <c r="AI25" s="793" t="s">
        <v>247</v>
      </c>
      <c r="AJ25" s="793" t="s">
        <v>249</v>
      </c>
      <c r="AK25" s="884" t="s">
        <v>511</v>
      </c>
      <c r="AL25" s="150" t="s">
        <v>309</v>
      </c>
      <c r="AM25" s="791"/>
      <c r="AN25" s="793" t="s">
        <v>512</v>
      </c>
    </row>
    <row r="26" spans="3:40" ht="12.75">
      <c r="C26" s="692"/>
      <c r="D26" s="170" t="s">
        <v>513</v>
      </c>
      <c r="E26" s="693" t="s">
        <v>340</v>
      </c>
      <c r="V26" s="877" t="s">
        <v>514</v>
      </c>
      <c r="W26" s="885">
        <f>$E$30*$V19</f>
        <v>120</v>
      </c>
      <c r="X26" s="791">
        <f>ROUND(IF($C$40&gt;0,$W26*0.12,IF($C$41&gt;0,$W26*0.22,IF($C$39&gt;0,$W26*0.29,$W26*0.15))),0)</f>
        <v>18</v>
      </c>
      <c r="Y26" s="886">
        <f>IF(C$40&gt;0,W26*0.006+3*V19,IF(C$38&gt;0,W26*0.01+3*V19,IF(C$41&gt;0,W26*0.014+3*V19,IF(C$39&gt;0,W26*0.02+3*V19,0))))</f>
        <v>4.2</v>
      </c>
      <c r="Z26" s="791">
        <f>ROUND((Y26*2)+(AB26/200),0)</f>
        <v>9</v>
      </c>
      <c r="AA26" s="887">
        <f>W26*$W$23*600</f>
        <v>72000</v>
      </c>
      <c r="AB26" s="885">
        <f>IF(W26&lt;110,(80+(W26/10))*$AA$23*V19,(100+(W26/10))*$AA$23)*X14</f>
        <v>89.60000000000001</v>
      </c>
      <c r="AC26" s="795">
        <f>IF(Y$19&lt;30,30*V19,IF(Y$19&gt;180,180*V19,Y$19))</f>
        <v>135.7</v>
      </c>
      <c r="AD26" s="795">
        <f>IF(Z$19&lt;30,30*V19,IF(Z$19&gt;120,120*V19,Z$19))</f>
        <v>86.19999999999999</v>
      </c>
      <c r="AE26" s="791">
        <f>(IF($C$41&gt;0,6,IF($C$40&gt;0,7,IF($C$38&gt;0,9,8))))*V19</f>
        <v>9</v>
      </c>
      <c r="AF26" s="791">
        <f>(IF(AD19&gt;29000,2,1))*V19</f>
        <v>1</v>
      </c>
      <c r="AG26" s="791">
        <f>ROUND(IF(AB19&lt;60,AB26/1.4,AB19),0)</f>
        <v>89</v>
      </c>
      <c r="AH26" s="791">
        <f>ROUND(AB26/10*AF26,0)</f>
        <v>9</v>
      </c>
      <c r="AI26" s="791">
        <f>ROUND(IF(SUM(W$21:W$22)&gt;0,AG26/2,AG26/4),0)</f>
        <v>22</v>
      </c>
      <c r="AJ26" s="791">
        <f>ROUNDUP(3*V19+SUM(AH26:AI26)/10,0)</f>
        <v>7</v>
      </c>
      <c r="AK26" s="800">
        <f>SUM(AG26:AJ26)</f>
        <v>127</v>
      </c>
      <c r="AL26" s="800">
        <f>(((W26-60)*200+AD19)*$AE$23*$X$15)*V19</f>
        <v>24839.999999999996</v>
      </c>
      <c r="AM26" s="791"/>
      <c r="AN26" s="791">
        <f>IF(G39&gt;0,0.9,0)</f>
        <v>0</v>
      </c>
    </row>
    <row r="27" spans="3:40" ht="13.5" thickBot="1">
      <c r="C27" s="694"/>
      <c r="D27" s="695" t="s">
        <v>515</v>
      </c>
      <c r="E27" s="696"/>
      <c r="V27" s="877" t="s">
        <v>254</v>
      </c>
      <c r="W27" s="885">
        <f>$E$30*$V20</f>
        <v>0</v>
      </c>
      <c r="X27" s="791">
        <f>ROUND($W27*0.13,0)</f>
        <v>0</v>
      </c>
      <c r="Y27" s="886">
        <f>2.5*V20</f>
        <v>0</v>
      </c>
      <c r="Z27" s="791">
        <f>3*V20</f>
        <v>0</v>
      </c>
      <c r="AA27" s="887">
        <f>W27*$W$23*350</f>
        <v>0</v>
      </c>
      <c r="AB27" s="885">
        <f>$W$27*V20*X14</f>
        <v>0</v>
      </c>
      <c r="AC27" s="795">
        <f>IF(Y20&lt;30,30*V20,IF(Y20&gt;180,180*V20,Y20))</f>
        <v>0</v>
      </c>
      <c r="AD27" s="795">
        <f>IF(Z$20&lt;30,30*V20,IF(Z$19&gt;120,120*V20,Z$20*V20))</f>
        <v>0</v>
      </c>
      <c r="AE27" s="791">
        <f>8*V20</f>
        <v>0</v>
      </c>
      <c r="AF27" s="791">
        <f>V20*1</f>
        <v>0</v>
      </c>
      <c r="AG27" s="791">
        <v>0</v>
      </c>
      <c r="AH27" s="791">
        <f>AB20</f>
        <v>0</v>
      </c>
      <c r="AI27" s="791">
        <v>0</v>
      </c>
      <c r="AJ27" s="791">
        <f>ROUNDUP(AH27/40+(1*V20),0)</f>
        <v>0</v>
      </c>
      <c r="AK27" s="800">
        <f>SUM(AG27:AJ27)</f>
        <v>0</v>
      </c>
      <c r="AL27" s="800">
        <f>(((W27-60)*220+AD20)*$X$15)*V20</f>
        <v>0</v>
      </c>
      <c r="AM27" s="791"/>
      <c r="AN27" s="791">
        <f>IF(G40&gt;0,1,0)</f>
        <v>1</v>
      </c>
    </row>
    <row r="28" spans="22:40" ht="14.25" thickBot="1" thickTop="1">
      <c r="V28" s="877" t="s">
        <v>516</v>
      </c>
      <c r="W28" s="885">
        <f>$E$30*$V21</f>
        <v>0</v>
      </c>
      <c r="X28" s="791">
        <f>ROUND(IF($C$40&gt;0,W28*0.18,IF($C$41&gt;0,W28*0.27,IF($C$39&gt;0,W28*0.33,W28*0.22))),0)</f>
        <v>0</v>
      </c>
      <c r="Y28" s="886">
        <f>IF(C40&gt;0,W28*0.08+1*V21,IF(C38&gt;0,W28*0.09+1*V21,IF(C41&gt;0,W28*0.11+1*V21,IF(C39&gt;0,W28*0.12+2*V21,0))))</f>
        <v>0</v>
      </c>
      <c r="Z28" s="795">
        <f>IF(C41&gt;0,Y28*1.4*V21,IF(C40&gt;0,Y28*1.5*V21,IF(C39&gt;0,Y28*1.4*V21,Y28*1.4*V21)))</f>
        <v>0</v>
      </c>
      <c r="AA28" s="887">
        <f>IF(W28&lt;100,W28*$W$23*1000,W28*$W$23*2000)</f>
        <v>0</v>
      </c>
      <c r="AB28" s="885">
        <f>IF(W28&lt;90,(60+(W28/5))*$AA$23*V21,(120+(W28/5))*$AA$23)*X14</f>
        <v>0</v>
      </c>
      <c r="AC28" s="795">
        <f>IF(Y21&lt;30,30*V21,IF(Y21&gt;180,180*V21,Y21))</f>
        <v>0</v>
      </c>
      <c r="AD28" s="795">
        <v>0</v>
      </c>
      <c r="AE28" s="791">
        <f>(IF($C$41&gt;0,6,IF($C$40&gt;0,7,IF($C$38&gt;0,9,8))))*V21</f>
        <v>0</v>
      </c>
      <c r="AF28" s="791">
        <f>IF(W28&lt;80,1*V21,IF(W28&lt;120,2*V21,IF(W28&lt;180,3*V21,IF(W28&lt;300,4*V21,5*V21))))</f>
        <v>0</v>
      </c>
      <c r="AG28" s="791">
        <v>0</v>
      </c>
      <c r="AH28" s="791">
        <f>ROUND(AB28*AF28/8+2*V21,0)</f>
        <v>0</v>
      </c>
      <c r="AI28" s="791">
        <f>ROUND(IF(SUM(W$21:W$22)&gt;0,AB28*(V21*0.5),AB28*(V21*0.25)),0)</f>
        <v>0</v>
      </c>
      <c r="AJ28" s="791">
        <f>ROUNDUP(3*V21+SUM(AH28:AI28)/10,0)</f>
        <v>0</v>
      </c>
      <c r="AK28" s="800">
        <f>SUM(AG28:AJ28)</f>
        <v>0</v>
      </c>
      <c r="AL28" s="800">
        <f>(((W28-60)*200+AD21)*AE$23*X15)*V21</f>
        <v>0</v>
      </c>
      <c r="AM28" s="791"/>
      <c r="AN28" s="791">
        <f>IF(G41&gt;0,1.3,0)</f>
        <v>0</v>
      </c>
    </row>
    <row r="29" spans="3:40" ht="14.25" thickTop="1">
      <c r="C29" s="703" t="s">
        <v>517</v>
      </c>
      <c r="D29" s="621"/>
      <c r="E29" s="700" t="s">
        <v>111</v>
      </c>
      <c r="V29" s="791"/>
      <c r="W29" s="888">
        <f>SUM(W26:W28)/V22</f>
        <v>120</v>
      </c>
      <c r="X29" s="888">
        <f>SUM(X26:X28)/V22</f>
        <v>18</v>
      </c>
      <c r="Y29" s="889">
        <f>SUM(Y26:Y28)/V22</f>
        <v>4.2</v>
      </c>
      <c r="Z29" s="888">
        <f>SUM(Z26:Z28)/V22</f>
        <v>9</v>
      </c>
      <c r="AA29" s="890">
        <f>SUM(AA26:AA28)/V22</f>
        <v>72000</v>
      </c>
      <c r="AB29" s="799">
        <f>SUM(AB26:AB28)/V22</f>
        <v>89.60000000000001</v>
      </c>
      <c r="AC29" s="888">
        <f>SUM(AC26:AC28)/V22</f>
        <v>135.7</v>
      </c>
      <c r="AD29" s="888">
        <f>SUM(AD26:AD28)/V22</f>
        <v>86.19999999999999</v>
      </c>
      <c r="AE29" s="888">
        <f>SUM(AE26:AE28)/V22</f>
        <v>9</v>
      </c>
      <c r="AF29" s="888">
        <f>SUM(AF26:AF28)/V22</f>
        <v>1</v>
      </c>
      <c r="AG29" s="800">
        <f>SUM(AG26:AG28)/V22</f>
        <v>89</v>
      </c>
      <c r="AH29" s="800">
        <f>SUM(AH26:AH28)/V22</f>
        <v>9</v>
      </c>
      <c r="AI29" s="800">
        <f>SUM(AI26:AI28)/V22</f>
        <v>22</v>
      </c>
      <c r="AJ29" s="800">
        <f>SUM(AJ26:AJ28)/V22</f>
        <v>7</v>
      </c>
      <c r="AK29" s="800">
        <f>SUM(AK26:AK28)/V22</f>
        <v>127</v>
      </c>
      <c r="AL29" s="800">
        <f>SUM(AL26:AL28)/V22</f>
        <v>24839.999999999996</v>
      </c>
      <c r="AM29" s="791"/>
      <c r="AN29" s="891">
        <f>IF(SUM(AN26:AN28)=0,1,SUM(AN26:AN28))</f>
        <v>1</v>
      </c>
    </row>
    <row r="30" spans="3:5" ht="13.5" thickBot="1">
      <c r="C30" s="618"/>
      <c r="D30" s="619" t="s">
        <v>518</v>
      </c>
      <c r="E30" s="640">
        <v>120</v>
      </c>
    </row>
    <row r="31" spans="21:30" ht="14.25" thickBot="1" thickTop="1">
      <c r="U31" s="88"/>
      <c r="V31" s="88"/>
      <c r="W31" s="88"/>
      <c r="X31" s="88"/>
      <c r="Y31" s="88"/>
      <c r="Z31" s="88"/>
      <c r="AA31" s="88"/>
      <c r="AB31" s="88"/>
      <c r="AC31" s="88"/>
      <c r="AD31" s="88"/>
    </row>
    <row r="32" spans="1:30" ht="13.5" thickTop="1">
      <c r="A32" s="703" t="s">
        <v>519</v>
      </c>
      <c r="B32" s="621"/>
      <c r="C32" s="700" t="s">
        <v>400</v>
      </c>
      <c r="E32" s="703" t="s">
        <v>520</v>
      </c>
      <c r="F32" s="621"/>
      <c r="G32" s="700" t="s">
        <v>521</v>
      </c>
      <c r="U32" s="88"/>
      <c r="V32" s="893"/>
      <c r="W32" s="893"/>
      <c r="X32" s="894" t="s">
        <v>522</v>
      </c>
      <c r="Y32" s="895" t="s">
        <v>241</v>
      </c>
      <c r="Z32" s="895"/>
      <c r="AA32" s="895"/>
      <c r="AB32" s="896"/>
      <c r="AC32" s="895" t="s">
        <v>242</v>
      </c>
      <c r="AD32" s="88"/>
    </row>
    <row r="33" spans="1:30" ht="12.75">
      <c r="A33" s="617"/>
      <c r="B33" s="170" t="s">
        <v>514</v>
      </c>
      <c r="C33" s="639" t="s">
        <v>340</v>
      </c>
      <c r="E33" s="906" t="s">
        <v>523</v>
      </c>
      <c r="F33" s="902"/>
      <c r="G33" s="910" t="s">
        <v>524</v>
      </c>
      <c r="U33" s="88"/>
      <c r="V33" s="897" t="s">
        <v>243</v>
      </c>
      <c r="W33" s="895"/>
      <c r="X33" s="894" t="s">
        <v>525</v>
      </c>
      <c r="Y33" s="894" t="s">
        <v>246</v>
      </c>
      <c r="Z33" s="894" t="s">
        <v>247</v>
      </c>
      <c r="AA33" s="894" t="s">
        <v>248</v>
      </c>
      <c r="AB33" s="894" t="s">
        <v>249</v>
      </c>
      <c r="AC33" s="894" t="s">
        <v>250</v>
      </c>
      <c r="AD33" s="88"/>
    </row>
    <row r="34" spans="1:30" ht="12.75">
      <c r="A34" s="617"/>
      <c r="B34" s="170" t="s">
        <v>254</v>
      </c>
      <c r="C34" s="639"/>
      <c r="E34" s="903"/>
      <c r="F34" s="902" t="s">
        <v>526</v>
      </c>
      <c r="G34" s="639" t="s">
        <v>15</v>
      </c>
      <c r="U34" s="88"/>
      <c r="V34" s="893"/>
      <c r="W34" s="898" t="s">
        <v>251</v>
      </c>
      <c r="X34" s="899">
        <f>IF($AD$19*V$19=5000,1,0)</f>
        <v>0</v>
      </c>
      <c r="Y34" s="900">
        <f>$AH$26*$X34</f>
        <v>0</v>
      </c>
      <c r="Z34" s="900">
        <f>$AI$26*$X34</f>
        <v>0</v>
      </c>
      <c r="AA34" s="900">
        <f>$AG$26*$X34</f>
        <v>0</v>
      </c>
      <c r="AB34" s="900">
        <f>$AJ$26*$X34</f>
        <v>0</v>
      </c>
      <c r="AC34" s="901">
        <f>IF(G34="y",(Y34*0.3*G36)+(Z34*0.75*G36)+(AB34*55*G36),(Y34*0.3*G36)+(Z34*0.75*G36)+(AA34*0.2*G36)+(AB34*55*G36))</f>
        <v>0</v>
      </c>
      <c r="AD34" s="88"/>
    </row>
    <row r="35" spans="1:30" ht="13.5" thickBot="1">
      <c r="A35" s="618"/>
      <c r="B35" s="619" t="s">
        <v>516</v>
      </c>
      <c r="C35" s="640"/>
      <c r="E35" s="906" t="s">
        <v>527</v>
      </c>
      <c r="F35" s="95"/>
      <c r="G35" s="907" t="s">
        <v>528</v>
      </c>
      <c r="H35" s="617"/>
      <c r="U35" s="88"/>
      <c r="V35" s="893"/>
      <c r="W35" s="898" t="s">
        <v>252</v>
      </c>
      <c r="X35" s="899">
        <f>IF($AD$19*V$19=15000,1,0)</f>
        <v>1</v>
      </c>
      <c r="Y35" s="900">
        <f>$AH$26*$X35</f>
        <v>9</v>
      </c>
      <c r="Z35" s="900">
        <f>$AI$26*$X35</f>
        <v>22</v>
      </c>
      <c r="AA35" s="900">
        <f>$AG$26*$X35</f>
        <v>89</v>
      </c>
      <c r="AB35" s="900">
        <f>$AJ$26*$X35</f>
        <v>7</v>
      </c>
      <c r="AC35" s="901">
        <f>IF(G34="y",(Y35*0.3*G36)+(Z35*0.75*G36)+(AB35*110*G36),(Y35*0.3*G36)+(Z35*0.75*G36)+(AA35*0.2*G36)+(AB35*110*G36))</f>
        <v>394.6</v>
      </c>
      <c r="AD35" s="88"/>
    </row>
    <row r="36" spans="5:30" ht="14.25" thickBot="1" thickTop="1">
      <c r="E36" s="904"/>
      <c r="F36" s="905" t="s">
        <v>529</v>
      </c>
      <c r="G36" s="908">
        <v>0.5</v>
      </c>
      <c r="U36" s="88"/>
      <c r="V36" s="893"/>
      <c r="W36" s="898" t="s">
        <v>253</v>
      </c>
      <c r="X36" s="899">
        <f>IF($AD$19*V$19=30000,1,0)</f>
        <v>0</v>
      </c>
      <c r="Y36" s="900">
        <f>$AH$26*$X36</f>
        <v>0</v>
      </c>
      <c r="Z36" s="900">
        <f>$AI$26*$X36</f>
        <v>0</v>
      </c>
      <c r="AA36" s="900">
        <f>$AG$26*$X36</f>
        <v>0</v>
      </c>
      <c r="AB36" s="900">
        <f>$AJ$26*$X36</f>
        <v>0</v>
      </c>
      <c r="AC36" s="901">
        <f>IF(G34="y",(Y36*0.3*G36)+(Z36*0.75*G36)+(AB36*165*G36),(Y36*0.3*G36)+(Z36*0.75*G36)+(AA36*0.2*G36)+(AB36*165*G36))</f>
        <v>0</v>
      </c>
      <c r="AD36" s="88"/>
    </row>
    <row r="37" spans="1:30" ht="14.25" thickBot="1" thickTop="1">
      <c r="A37" s="703" t="s">
        <v>530</v>
      </c>
      <c r="B37" s="621"/>
      <c r="C37" s="700" t="s">
        <v>400</v>
      </c>
      <c r="U37" s="88"/>
      <c r="V37" s="893"/>
      <c r="W37" s="898" t="s">
        <v>254</v>
      </c>
      <c r="X37" s="899">
        <f>IF($AD$20*V$20=12000,1,0)</f>
        <v>0</v>
      </c>
      <c r="Y37" s="900">
        <f>$AH$27*$X37</f>
        <v>0</v>
      </c>
      <c r="Z37" s="900">
        <f>$AI$27*$X37</f>
        <v>0</v>
      </c>
      <c r="AA37" s="900">
        <f>$AG$27*$X37</f>
        <v>0</v>
      </c>
      <c r="AB37" s="900">
        <f>$AJ$27*$X37</f>
        <v>0</v>
      </c>
      <c r="AC37" s="901">
        <f>IF(G34="y",(Y37*0.3*G36)+(Z37*0.75*G36)+(AB37*55*G36),(Y37*0.3*G36)+(Z37*0.75*G36)+(AA37*0.2*G36)+(AB37*55*G36))</f>
        <v>0</v>
      </c>
      <c r="AD37" s="88"/>
    </row>
    <row r="38" spans="1:30" ht="13.5" thickTop="1">
      <c r="A38" s="617"/>
      <c r="B38" s="170" t="s">
        <v>531</v>
      </c>
      <c r="C38" s="639" t="s">
        <v>340</v>
      </c>
      <c r="E38" s="703" t="s">
        <v>532</v>
      </c>
      <c r="F38" s="621"/>
      <c r="G38" s="700" t="s">
        <v>400</v>
      </c>
      <c r="L38" s="3"/>
      <c r="U38" s="88"/>
      <c r="V38" s="893"/>
      <c r="W38" s="898" t="s">
        <v>255</v>
      </c>
      <c r="X38" s="899">
        <f>IF($AD$21*V$21=3000,1,0)</f>
        <v>0</v>
      </c>
      <c r="Y38" s="900">
        <f>$AH$28*$X38</f>
        <v>0</v>
      </c>
      <c r="Z38" s="900">
        <f>$AI$28*$X38</f>
        <v>0</v>
      </c>
      <c r="AA38" s="900">
        <f>$AG$28*$X38</f>
        <v>0</v>
      </c>
      <c r="AB38" s="900">
        <f>$AJ$28*$X38</f>
        <v>0</v>
      </c>
      <c r="AC38" s="901">
        <f>(Y38*0.3*G36)+(Z38*0.75*G36)+(AB38*55*G36)</f>
        <v>0</v>
      </c>
      <c r="AD38" s="88"/>
    </row>
    <row r="39" spans="1:30" ht="12.75">
      <c r="A39" s="617"/>
      <c r="B39" s="170" t="s">
        <v>533</v>
      </c>
      <c r="C39" s="639"/>
      <c r="E39" s="617"/>
      <c r="F39" s="170" t="s">
        <v>534</v>
      </c>
      <c r="G39" s="639"/>
      <c r="U39" s="88"/>
      <c r="V39" s="893"/>
      <c r="W39" s="898" t="s">
        <v>256</v>
      </c>
      <c r="X39" s="899">
        <f>IF($AD$21*V$21=10000,1,0)</f>
        <v>0</v>
      </c>
      <c r="Y39" s="900">
        <f>$AH$28*$X39</f>
        <v>0</v>
      </c>
      <c r="Z39" s="900">
        <f>$AI$28*$X39</f>
        <v>0</v>
      </c>
      <c r="AA39" s="900">
        <f>$AG$28*$X39</f>
        <v>0</v>
      </c>
      <c r="AB39" s="900">
        <f>$AJ$28*$X39</f>
        <v>0</v>
      </c>
      <c r="AC39" s="901">
        <f>(Y39*0.3*G36)+(Z39*0.75*G36)+(AB39*110*G36)</f>
        <v>0</v>
      </c>
      <c r="AD39" s="88"/>
    </row>
    <row r="40" spans="1:30" ht="12.75">
      <c r="A40" s="617"/>
      <c r="B40" s="170" t="s">
        <v>535</v>
      </c>
      <c r="C40" s="639"/>
      <c r="E40" s="617"/>
      <c r="F40" s="170" t="s">
        <v>536</v>
      </c>
      <c r="G40" s="639" t="s">
        <v>340</v>
      </c>
      <c r="U40" s="88"/>
      <c r="V40" s="893"/>
      <c r="W40" s="898" t="s">
        <v>257</v>
      </c>
      <c r="X40" s="899">
        <f>IF($AD$21*V$21=15000,1,0)</f>
        <v>0</v>
      </c>
      <c r="Y40" s="900">
        <f>$AH$28*$X40</f>
        <v>0</v>
      </c>
      <c r="Z40" s="900">
        <f>$AI$28*$X40</f>
        <v>0</v>
      </c>
      <c r="AA40" s="900">
        <f>$AG$28*$X40</f>
        <v>0</v>
      </c>
      <c r="AB40" s="900">
        <f>$AJ$28*$X40</f>
        <v>0</v>
      </c>
      <c r="AC40" s="901">
        <f>(Y40*0.3*G36)+(Z40*0.75*G36)+(AB40*110*G36)</f>
        <v>0</v>
      </c>
      <c r="AD40" s="88"/>
    </row>
    <row r="41" spans="1:30" ht="13.5" thickBot="1">
      <c r="A41" s="618"/>
      <c r="B41" s="619" t="s">
        <v>537</v>
      </c>
      <c r="C41" s="640"/>
      <c r="E41" s="618"/>
      <c r="F41" s="619" t="s">
        <v>538</v>
      </c>
      <c r="G41" s="640"/>
      <c r="U41" s="88"/>
      <c r="V41" s="88"/>
      <c r="W41" s="88"/>
      <c r="X41" s="88">
        <f>IF(SUM(X34:X40)=0,1,SUM(X34:X40))</f>
        <v>1</v>
      </c>
      <c r="Y41" s="88"/>
      <c r="Z41" s="88"/>
      <c r="AA41" s="88"/>
      <c r="AB41" s="88"/>
      <c r="AC41" s="257">
        <f>SUM(AC34:AC40)/X41</f>
        <v>394.6</v>
      </c>
      <c r="AD41" s="88"/>
    </row>
    <row r="42" ht="13.5" thickTop="1"/>
    <row r="43" spans="2:8" ht="20.25">
      <c r="B43" s="832"/>
      <c r="C43" s="875" t="s">
        <v>539</v>
      </c>
      <c r="D43" s="833"/>
      <c r="E43" s="865" t="str">
        <f>IF(C5&gt;0,C5,IF(D5&gt;0,D5,E5))</f>
        <v>The Sea Gorgon</v>
      </c>
      <c r="F43" s="832"/>
      <c r="G43" s="834"/>
      <c r="H43" s="832"/>
    </row>
    <row r="44" ht="13.5" thickBot="1"/>
    <row r="45" spans="1:8" ht="14.25" thickBot="1" thickTop="1">
      <c r="A45" s="847" t="s">
        <v>540</v>
      </c>
      <c r="B45" s="848"/>
      <c r="C45" s="848"/>
      <c r="D45" s="849"/>
      <c r="F45" s="615" t="s">
        <v>541</v>
      </c>
      <c r="G45" s="866"/>
      <c r="H45" s="867"/>
    </row>
    <row r="46" spans="1:8" ht="13.5" thickTop="1">
      <c r="A46" s="835"/>
      <c r="B46" s="843" t="s">
        <v>504</v>
      </c>
      <c r="C46" s="838">
        <f>W29</f>
        <v>120</v>
      </c>
      <c r="D46" s="839" t="s">
        <v>542</v>
      </c>
      <c r="F46" s="868"/>
      <c r="G46" s="869" t="s">
        <v>248</v>
      </c>
      <c r="H46" s="871">
        <f>AG29</f>
        <v>89</v>
      </c>
    </row>
    <row r="47" spans="1:8" ht="12.75">
      <c r="A47" s="836"/>
      <c r="B47" s="844" t="s">
        <v>505</v>
      </c>
      <c r="C47" s="841">
        <f>X29</f>
        <v>18</v>
      </c>
      <c r="D47" s="840" t="s">
        <v>542</v>
      </c>
      <c r="F47" s="868"/>
      <c r="G47" s="869" t="s">
        <v>246</v>
      </c>
      <c r="H47" s="871">
        <f>AH29</f>
        <v>9</v>
      </c>
    </row>
    <row r="48" spans="1:8" ht="12.75">
      <c r="A48" s="836"/>
      <c r="B48" s="844" t="s">
        <v>506</v>
      </c>
      <c r="C48" s="864">
        <f>Y29</f>
        <v>4.2</v>
      </c>
      <c r="D48" s="840" t="s">
        <v>542</v>
      </c>
      <c r="F48" s="868"/>
      <c r="G48" s="869" t="s">
        <v>247</v>
      </c>
      <c r="H48" s="871">
        <f>AI29</f>
        <v>22</v>
      </c>
    </row>
    <row r="49" spans="1:8" ht="13.5" thickBot="1">
      <c r="A49" s="836"/>
      <c r="B49" s="845" t="s">
        <v>543</v>
      </c>
      <c r="C49" s="841">
        <f>Z29</f>
        <v>9</v>
      </c>
      <c r="D49" s="840" t="s">
        <v>542</v>
      </c>
      <c r="F49" s="868"/>
      <c r="G49" s="870" t="s">
        <v>249</v>
      </c>
      <c r="H49" s="871">
        <f>AJ29</f>
        <v>7</v>
      </c>
    </row>
    <row r="50" spans="1:8" ht="13.5" thickBot="1">
      <c r="A50" s="837"/>
      <c r="B50" s="846" t="s">
        <v>544</v>
      </c>
      <c r="C50" s="876">
        <f>AF29</f>
        <v>1</v>
      </c>
      <c r="D50" s="842"/>
      <c r="F50" s="872"/>
      <c r="G50" s="873" t="s">
        <v>299</v>
      </c>
      <c r="H50" s="874">
        <f>AK29</f>
        <v>127</v>
      </c>
    </row>
    <row r="51" ht="14.25" thickBot="1" thickTop="1"/>
    <row r="52" spans="1:9" ht="13.5" thickTop="1">
      <c r="A52" s="861" t="s">
        <v>545</v>
      </c>
      <c r="B52" s="862"/>
      <c r="C52" s="862"/>
      <c r="D52" s="863"/>
      <c r="F52" s="861" t="s">
        <v>546</v>
      </c>
      <c r="G52" s="862"/>
      <c r="H52" s="862"/>
      <c r="I52" s="863"/>
    </row>
    <row r="53" spans="1:9" ht="12.75">
      <c r="A53" s="850"/>
      <c r="B53" s="851" t="s">
        <v>519</v>
      </c>
      <c r="C53" s="909" t="str">
        <f>IF(X34=1,"Small Galley",IF(X34=1,"Small Galley",IF(X35=1,"Large Galley",IF(X36=1,"War Galley",IF(X37=1,"Longship",IF(X38=1,"Small Sail Ship",IF(X39=1,"Large Sail Ship",IF(X40=1,"Troop Transport",""))))))))</f>
        <v>Large Galley</v>
      </c>
      <c r="D53" s="853"/>
      <c r="F53" s="850"/>
      <c r="G53" s="851"/>
      <c r="H53" s="854"/>
      <c r="I53" s="878" t="s">
        <v>547</v>
      </c>
    </row>
    <row r="54" spans="1:9" ht="12.75">
      <c r="A54" s="850"/>
      <c r="B54" s="851" t="s">
        <v>548</v>
      </c>
      <c r="C54" s="852">
        <f>AB29</f>
        <v>89.60000000000001</v>
      </c>
      <c r="D54" s="853" t="s">
        <v>466</v>
      </c>
      <c r="F54" s="850"/>
      <c r="G54" s="851" t="s">
        <v>549</v>
      </c>
      <c r="H54" s="852">
        <f>AL29/10*AN29</f>
        <v>2483.9999999999995</v>
      </c>
      <c r="I54" s="853" t="s">
        <v>55</v>
      </c>
    </row>
    <row r="55" spans="1:9" ht="12.75">
      <c r="A55" s="850"/>
      <c r="B55" s="851" t="s">
        <v>550</v>
      </c>
      <c r="C55" s="854">
        <f>AE29</f>
        <v>9</v>
      </c>
      <c r="D55" s="853" t="s">
        <v>509</v>
      </c>
      <c r="F55" s="850"/>
      <c r="G55" s="851" t="s">
        <v>551</v>
      </c>
      <c r="H55" s="892">
        <f>H54/10/12</f>
        <v>20.699999999999996</v>
      </c>
      <c r="I55" s="853" t="s">
        <v>552</v>
      </c>
    </row>
    <row r="56" spans="1:9" ht="12.75">
      <c r="A56" s="850"/>
      <c r="B56" s="851" t="s">
        <v>508</v>
      </c>
      <c r="C56" s="852">
        <f>AA29</f>
        <v>72000</v>
      </c>
      <c r="D56" s="853" t="s">
        <v>553</v>
      </c>
      <c r="F56" s="850"/>
      <c r="G56" s="851" t="s">
        <v>242</v>
      </c>
      <c r="H56" s="892">
        <f>AC41</f>
        <v>394.6</v>
      </c>
      <c r="I56" s="853" t="s">
        <v>552</v>
      </c>
    </row>
    <row r="57" spans="1:9" ht="12.75">
      <c r="A57" s="850"/>
      <c r="B57" s="851"/>
      <c r="C57" s="852"/>
      <c r="D57" s="853"/>
      <c r="F57" s="850"/>
      <c r="G57" s="851"/>
      <c r="H57" s="880"/>
      <c r="I57" s="853"/>
    </row>
    <row r="58" spans="1:9" ht="12.75">
      <c r="A58" s="855" t="s">
        <v>498</v>
      </c>
      <c r="B58" s="851"/>
      <c r="C58" s="856"/>
      <c r="D58" s="853"/>
      <c r="F58" s="850"/>
      <c r="G58" s="851"/>
      <c r="H58" s="856"/>
      <c r="I58" s="878" t="s">
        <v>554</v>
      </c>
    </row>
    <row r="59" spans="1:9" ht="12.75">
      <c r="A59" s="850"/>
      <c r="B59" s="851" t="s">
        <v>555</v>
      </c>
      <c r="C59" s="854">
        <f>AC29</f>
        <v>135.7</v>
      </c>
      <c r="D59" s="853" t="s">
        <v>542</v>
      </c>
      <c r="F59" s="855"/>
      <c r="G59" s="851" t="s">
        <v>549</v>
      </c>
      <c r="H59" s="879">
        <f>AL29*AN29</f>
        <v>24839.999999999996</v>
      </c>
      <c r="I59" s="853" t="s">
        <v>55</v>
      </c>
    </row>
    <row r="60" spans="1:9" ht="12.75">
      <c r="A60" s="850"/>
      <c r="B60" s="851" t="s">
        <v>556</v>
      </c>
      <c r="C60" s="856">
        <f>ROUND(C59/1.6666667,0)</f>
        <v>81</v>
      </c>
      <c r="D60" s="853" t="s">
        <v>371</v>
      </c>
      <c r="F60" s="855"/>
      <c r="G60" s="851" t="s">
        <v>551</v>
      </c>
      <c r="H60" s="879">
        <f>H59/10/12</f>
        <v>206.99999999999997</v>
      </c>
      <c r="I60" s="853" t="s">
        <v>552</v>
      </c>
    </row>
    <row r="61" spans="1:9" ht="12.75">
      <c r="A61" s="855" t="s">
        <v>499</v>
      </c>
      <c r="B61" s="851"/>
      <c r="C61" s="856"/>
      <c r="D61" s="853"/>
      <c r="F61" s="855"/>
      <c r="G61" s="851" t="s">
        <v>242</v>
      </c>
      <c r="H61" s="879">
        <f>H56*4</f>
        <v>1578.4</v>
      </c>
      <c r="I61" s="853" t="s">
        <v>552</v>
      </c>
    </row>
    <row r="62" spans="1:9" ht="12.75">
      <c r="A62" s="850"/>
      <c r="B62" s="851" t="s">
        <v>555</v>
      </c>
      <c r="C62" s="854">
        <f>AD29</f>
        <v>86.19999999999999</v>
      </c>
      <c r="D62" s="853" t="s">
        <v>542</v>
      </c>
      <c r="F62" s="855"/>
      <c r="G62" s="851"/>
      <c r="H62" s="879"/>
      <c r="I62" s="853"/>
    </row>
    <row r="63" spans="1:9" ht="13.5" thickBot="1">
      <c r="A63" s="857"/>
      <c r="B63" s="858" t="s">
        <v>556</v>
      </c>
      <c r="C63" s="859">
        <f>ROUND(C62/5,0)</f>
        <v>17</v>
      </c>
      <c r="D63" s="860" t="s">
        <v>371</v>
      </c>
      <c r="F63" s="857"/>
      <c r="G63" s="858" t="s">
        <v>444</v>
      </c>
      <c r="H63" s="882">
        <f>IF((H54/D8)&lt;21,21*V16*V22,(H54/D8)*V16*V22)</f>
        <v>70.37999999999998</v>
      </c>
      <c r="I63" s="860" t="s">
        <v>557</v>
      </c>
    </row>
    <row r="64" ht="13.5" thickTop="1"/>
  </sheetData>
  <sheetProtection sheet="1" objects="1" scenarios="1"/>
  <printOptions/>
  <pageMargins left="0.75" right="0.75" top="1" bottom="1" header="0.5" footer="0.5"/>
  <pageSetup horizontalDpi="300" verticalDpi="300" orientation="portrait" r:id="rId2"/>
  <headerFooter alignWithMargins="0">
    <oddHeader>&amp;C&amp;A</oddHeader>
    <oddFooter>&amp;CPage &amp;P</oddFooter>
  </headerFooter>
  <legacyDrawing r:id="rId1"/>
</worksheet>
</file>

<file path=xl/worksheets/sheet7.xml><?xml version="1.0" encoding="utf-8"?>
<worksheet xmlns="http://schemas.openxmlformats.org/spreadsheetml/2006/main" xmlns:r="http://schemas.openxmlformats.org/officeDocument/2006/relationships">
  <dimension ref="C7:D7"/>
  <sheetViews>
    <sheetView zoomScalePageLayoutView="0" workbookViewId="0" topLeftCell="A1">
      <selection activeCell="I7" sqref="I7"/>
    </sheetView>
  </sheetViews>
  <sheetFormatPr defaultColWidth="9.140625" defaultRowHeight="12.75"/>
  <sheetData>
    <row r="7" spans="3:4" ht="12.75">
      <c r="C7" s="825">
        <f ca="1">ROUND((RAND())*100,0)</f>
        <v>18</v>
      </c>
      <c r="D7" s="1" t="s">
        <v>215</v>
      </c>
    </row>
  </sheetData>
  <sheetProtection/>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Rad</Manager>
  <Company>Excellent, of course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Economy 101</dc:title>
  <dc:subject>Populations, Taxes, Armies, etc.</dc:subject>
  <dc:creator>Bruce Heard, Ambreville@AOL.com</dc:creator>
  <cp:keywords>Mystara</cp:keywords>
  <dc:description>Thanks for your interest in these Dominion Economy guidelines.
     You are welcome to make this spreadsheet available on your web site, but I need you to mention a couple things about it. First, there needs to be a line explaining that this is/was part of a discussion on the MMB (the Mystara Message Board on the TSR web site). Please include the date you posted this file since there may be future updates, and naturally the author's name.
      The reason I offer this is to entertain Mystara fans, but also to receive comments and suggestions from playtesters. This sort of help is always welcome. Comments can be e-mailed to me directly, but I would prefer they be posted on the MMB just to keep everyone there involved with the ongoing discussion. The TSR web site is located at www.TSR.com. This message board can be accessed directly with a web browser (http://tsronline.wizards.com/mb/index.html), or with a newsgroup reader (the newsgroup server address is TSROnline.com and the MMB's location is TSR.OOP.Mystara). I mention the latter since it is the fastest and allows offline reading.
Thanks again!
Bruce Heard
Ambreville@AOL.com</dc:description>
  <cp:lastModifiedBy>shawn stanley</cp:lastModifiedBy>
  <dcterms:created xsi:type="dcterms:W3CDTF">1999-01-07T22:29:32Z</dcterms:created>
  <dcterms:modified xsi:type="dcterms:W3CDTF">2020-08-19T23:40:26Z</dcterms:modified>
  <cp:category>Definitely Old Guard</cp:category>
  <cp:version/>
  <cp:contentType/>
  <cp:contentStatus/>
</cp:coreProperties>
</file>